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sam_agostino_dairyaustralia_com_au/Documents/Desktop/"/>
    </mc:Choice>
  </mc:AlternateContent>
  <xr:revisionPtr revIDLastSave="0" documentId="8_{577F28A1-25EF-4EC8-A6DD-5E113D3D42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put Data" sheetId="1" r:id="rId1"/>
    <sheet name="Carbon Calculations" sheetId="4" state="hidden" r:id="rId2"/>
  </sheets>
  <definedNames>
    <definedName name="AnimalWasteAtmosBull">'Carbon Calculations'!$I$45</definedName>
    <definedName name="AnimalWasteAtmosCow">'Carbon Calculations'!$C$45</definedName>
    <definedName name="AnimalWasteAtmosRising1">'Carbon Calculations'!$G$45</definedName>
    <definedName name="AnimalWasteAtmosRising2">'Carbon Calculations'!$E$45</definedName>
    <definedName name="AnimalWasteLeachBull">'Carbon Calculations'!$I$46</definedName>
    <definedName name="AnimalWasteLeachCow">'Carbon Calculations'!$C$46</definedName>
    <definedName name="AnimalWasteLeachRising1">'Carbon Calculations'!$G$46</definedName>
    <definedName name="AnimalWasteLeachRising2">'Carbon Calculations'!$E$46</definedName>
    <definedName name="AreaAvailable">'Input Data'!$D$28</definedName>
    <definedName name="AreaDryLand">'Input Data'!$D$36</definedName>
    <definedName name="AreaIrrigated">'Input Data'!$D$35</definedName>
    <definedName name="AreaIrrigatedMilking">'Input Data'!$D$33</definedName>
    <definedName name="AreaIrrigatedSupport">'Input Data'!$D$34</definedName>
    <definedName name="AreaLeasedNet">'Input Data'!$D$27</definedName>
    <definedName name="AreaMilking">'Input Data'!$D$31</definedName>
    <definedName name="AreaOwnedWtdAvg">'Input Data'!$D$26</definedName>
    <definedName name="AreaSupport">'Input Data'!$D$32</definedName>
    <definedName name="AreaUnusable">'Input Data'!$D$30</definedName>
    <definedName name="AreaUsable">'Input Data'!$D$29</definedName>
    <definedName name="AssetsAllCapitalAvg">#REF!</definedName>
    <definedName name="AssetsAllCapitalClosing">#REF!</definedName>
    <definedName name="AssetsAllCapitalOpening">#REF!</definedName>
    <definedName name="AssetsCarryoverWaterAvg">'Input Data'!$F$242</definedName>
    <definedName name="AssetsCarryoverWaterClosing">'Input Data'!$E$242</definedName>
    <definedName name="AssetsCarryoverWaterOpening">'Input Data'!$D$242</definedName>
    <definedName name="AssetsCurrentAvg">#REF!</definedName>
    <definedName name="AssetsCurrentOtherAvg">'Input Data'!$F$243</definedName>
    <definedName name="AssetsCurrentOtherClosing">'Input Data'!$E$243</definedName>
    <definedName name="AssetsCurrentOtherOpening">'Input Data'!$D$243</definedName>
    <definedName name="AssetsFactorySharesAvg">'Input Data'!$F$251</definedName>
    <definedName name="AssetsFactorySharesClosing">'Input Data'!$E$251</definedName>
    <definedName name="AssetsFactorySharesOpening">'Input Data'!$D$251</definedName>
    <definedName name="AssetsFarmOtherAvg">'Input Data'!$F$253</definedName>
    <definedName name="AssetsFarmOtherClosing">'Input Data'!$E$253</definedName>
    <definedName name="AssetsFarmOtherOpening">'Input Data'!$D$253</definedName>
    <definedName name="AssetsFeedAvg">#REF!</definedName>
    <definedName name="AssetsFeedClosing">#REF!</definedName>
    <definedName name="AssetsFeedOpening">#REF!</definedName>
    <definedName name="AssetsFmdAvg">'Input Data'!$F$252</definedName>
    <definedName name="AssetsFmdClosing">'Input Data'!$E$252</definedName>
    <definedName name="AssetsFmdOpening">'Input Data'!$D$252</definedName>
    <definedName name="AssetsLandAndBuildingsAvg">'Input Data'!$F$245</definedName>
    <definedName name="AssetsLandAndBuildingsClosing">'Input Data'!$E$245</definedName>
    <definedName name="AssetsLandAndBuildingsOpening">'Input Data'!$D$245</definedName>
    <definedName name="AssetsLeasedTotalAvg">'Input Data'!$F$249</definedName>
    <definedName name="AssetsLeasedTotalClosing">'Input Data'!$E$249</definedName>
    <definedName name="AssetsLeasedTotalOpening">'Input Data'!$D$249</definedName>
    <definedName name="AssetsLivestockAvg">#REF!</definedName>
    <definedName name="AssetsLivestockClosing">#REF!</definedName>
    <definedName name="AssetsLivestockOpening">#REF!</definedName>
    <definedName name="AssetsNonCurrentAvg">#REF!</definedName>
    <definedName name="AssetsNonCurrentClosing">#REF!</definedName>
    <definedName name="AssetsNonCurrentOpening">#REF!</definedName>
    <definedName name="AssetsOwnedTotalAvg">#REF!</definedName>
    <definedName name="AssetsOwnedTotalClosing">#REF!</definedName>
    <definedName name="AssetsOwnedTotalOpening">#REF!</definedName>
    <definedName name="AssetsOwnedWaterAvg">'Input Data'!$F$246</definedName>
    <definedName name="AssetsOwnedWaterClosing">'Input Data'!$E$246</definedName>
    <definedName name="AssetsOwnedWaterOpening">'Input Data'!$D$246</definedName>
    <definedName name="AssetsPlantEquipmentAvg">'Input Data'!$F$247</definedName>
    <definedName name="AssetsPlantEquipmentClosing">'Input Data'!$E$247</definedName>
    <definedName name="AssetsPlantEquipmentOpening">'Input Data'!$D$247</definedName>
    <definedName name="BullLiveweightKg">#REF!</definedName>
    <definedName name="BullNumber">#REF!</definedName>
    <definedName name="CalfDeaths">'Input Data'!$I$75</definedName>
    <definedName name="CalfPurchaseCost">'Input Data'!$I$74</definedName>
    <definedName name="CalfPurchases">'Input Data'!$I$73</definedName>
    <definedName name="CalfSalesNumber">'Input Data'!$I$71</definedName>
    <definedName name="CalfSalesValue">'Input Data'!$I$72</definedName>
    <definedName name="CalvesBornInYear">'Input Data'!$I$70</definedName>
    <definedName name="CalvingList">#REF!</definedName>
    <definedName name="CalvingPatternTypeId">'Input Data'!$D$44</definedName>
    <definedName name="CarbonDescription">#REF!</definedName>
    <definedName name="CashFlowCapitalPurchase">'Input Data'!$D$235</definedName>
    <definedName name="CashFlowCapitalTotal">#REF!</definedName>
    <definedName name="CashFlowFarmAndOtherNet">#REF!</definedName>
    <definedName name="CashFlowFarmNet">#REF!</definedName>
    <definedName name="CashFlowFarmOperatingSurplus">#REF!</definedName>
    <definedName name="CashFlowLivestockNet">#REF!</definedName>
    <definedName name="CashFlowLivestockPurchase">'Input Data'!$D$234</definedName>
    <definedName name="CashFlowOwnerDrawings">'Input Data'!$D$238</definedName>
    <definedName name="CashFlowPrincipalRepayment">'Input Data'!$D$237</definedName>
    <definedName name="CompositionList">#REF!</definedName>
    <definedName name="Concentrate">#REF!</definedName>
    <definedName name="CooBullsDirectPastureTonnes">#REF!</definedName>
    <definedName name="CooBullsEntFermTonnes">#REF!</definedName>
    <definedName name="CooBullsIndirectNWasteTonnes">#REF!</definedName>
    <definedName name="CooBullsManureSpreadTonnes">#REF!</definedName>
    <definedName name="CooBullsTotalPercent">#REF!</definedName>
    <definedName name="CooBullsTotalTonnes">#REF!</definedName>
    <definedName name="CooBullsWasteManagTonnes">#REF!</definedName>
    <definedName name="CooCowsDirectPastureTonnes">#REF!</definedName>
    <definedName name="CooCowsEntFermTonnes">#REF!</definedName>
    <definedName name="CooCowsIndirectNWasteTonnes">#REF!</definedName>
    <definedName name="CooCowsManureSpreadTonnes">#REF!</definedName>
    <definedName name="CooCowsTotalPercent">#REF!</definedName>
    <definedName name="CooCowsTotalTonnes">#REF!</definedName>
    <definedName name="CooCowsWasteManagTonnes">#REF!</definedName>
    <definedName name="CooFarmTotalKgPerKgMilksolids">#REF!</definedName>
    <definedName name="CooFarmTotalKgPerStdKgFcpm">#REF!</definedName>
    <definedName name="CooFarmTotalTonnes">#REF!</definedName>
    <definedName name="CooNitrogenDirectNFertTonnes">#REF!</definedName>
    <definedName name="CooNitrogenIndirectNFertTonnes">#REF!</definedName>
    <definedName name="CooNitrogenTotalPercent">#REF!</definedName>
    <definedName name="CooNitrogenTotalTonnes">#REF!</definedName>
    <definedName name="CooR1HeifersDirectPastureTonnes">#REF!</definedName>
    <definedName name="CooR1HeifersEntFermTonnes">#REF!</definedName>
    <definedName name="CooR1HeifersIndirectNWasteTonnes">#REF!</definedName>
    <definedName name="CooR1HeifersManureSpreadTonnes">#REF!</definedName>
    <definedName name="CooR1HeifersTotalPercent">#REF!</definedName>
    <definedName name="CooR1HeifersTotalTonnes">#REF!</definedName>
    <definedName name="CooR1HeifersWasteManagTonnes">#REF!</definedName>
    <definedName name="CooR2HeifersDirectPastureTonnes">#REF!</definedName>
    <definedName name="CooR2HeifersEntFermTonnes">#REF!</definedName>
    <definedName name="CooR2HeifersIndirectNWasteTonnes">#REF!</definedName>
    <definedName name="CooR2HeifersManureSpreadTonnes">#REF!</definedName>
    <definedName name="CooR2HeifersTotalPercent">#REF!</definedName>
    <definedName name="CooR2HeifersTotalTonnes">#REF!</definedName>
    <definedName name="CooR2HeifersWasteManagTonnes">#REF!</definedName>
    <definedName name="CooTotalDirectNFertPercent">#REF!</definedName>
    <definedName name="CooTotalDirectNFertTonnes">#REF!</definedName>
    <definedName name="CooTotalDirectPasturePercent">#REF!</definedName>
    <definedName name="CooTotalDirectPastureTonnes">#REF!</definedName>
    <definedName name="CooTotalElectrictyPercent">#REF!</definedName>
    <definedName name="CooTotalElectrictyTonnes">#REF!</definedName>
    <definedName name="CooTotalEntFermPercent">#REF!</definedName>
    <definedName name="CooTotalEntFermTonnes">#REF!</definedName>
    <definedName name="CooTotalFuelPercent">#REF!</definedName>
    <definedName name="CooTotalFuelTonnes">#REF!</definedName>
    <definedName name="CooTotalIndirectNFertPercent">#REF!</definedName>
    <definedName name="CooTotalIndirectNFertTonnes">#REF!</definedName>
    <definedName name="CooTotalIndirectNWastePercent">#REF!</definedName>
    <definedName name="CooTotalIndirectNWasteTonnes">#REF!</definedName>
    <definedName name="CooTotalManureSpreadPercent">#REF!</definedName>
    <definedName name="CooTotalManureSpreadTonnes">#REF!</definedName>
    <definedName name="CooTotalPreFarmConcPercent">#REF!</definedName>
    <definedName name="CooTotalPreFarmConcTonnes">#REF!</definedName>
    <definedName name="CooTotalPreFarmFertPercent">#REF!</definedName>
    <definedName name="CooTotalPreFarmFertTonnes">#REF!</definedName>
    <definedName name="CooTotalPreFarmFodderPercent">#REF!</definedName>
    <definedName name="CooTotalPreFarmFodderTonnes">#REF!</definedName>
    <definedName name="CooTotalTreeSequesterPercent">#REF!</definedName>
    <definedName name="CooTotalTreeSequesterTonnes">#REF!</definedName>
    <definedName name="CooTotalWasteManagPercent">#REF!</definedName>
    <definedName name="CooTotalWasteManagTonnes">#REF!</definedName>
    <definedName name="CooTypicalDirectNFertPercent">#REF!</definedName>
    <definedName name="CooTypicalDirectPasturePercent">#REF!</definedName>
    <definedName name="CooTypicalElectrictyPercent">#REF!</definedName>
    <definedName name="CooTypicalEntFermPercent">#REF!</definedName>
    <definedName name="CooTypicalFuelPercent">#REF!</definedName>
    <definedName name="CooTypicalIndirectNFertPercent">#REF!</definedName>
    <definedName name="CooTypicalIndirectNWastePercent">#REF!</definedName>
    <definedName name="CooTypicalManureSpreadPercent">#REF!</definedName>
    <definedName name="CooTypicalPreFarmConcPercent">#REF!</definedName>
    <definedName name="CooTypicalPreFarmFertPercent">#REF!</definedName>
    <definedName name="CooTypicalPreFarmFodderPercent">#REF!</definedName>
    <definedName name="CooTypicalTreeSequesterPercent">#REF!</definedName>
    <definedName name="CooTypicalWasteManagPercent">#REF!</definedName>
    <definedName name="CopExclInventory">#REF!</definedName>
    <definedName name="CopInclInventory">#REF!</definedName>
    <definedName name="CowDistanceWalked">'Input Data'!$D$39</definedName>
    <definedName name="CowLiveweightKg">#REF!</definedName>
    <definedName name="CowLiveweightKgPerMilkingHa">#REF!</definedName>
    <definedName name="CowMilkerNumber">'Input Data'!$D$45</definedName>
    <definedName name="CowNumberPerMilkingHa">#REF!</definedName>
    <definedName name="CowNumberPerUsableHa">#REF!</definedName>
    <definedName name="DairyBaseId">'Input Data'!$D$16</definedName>
    <definedName name="DairyHerdList">#REF!</definedName>
    <definedName name="DataSetId">'Input Data'!$K$13</definedName>
    <definedName name="DataSetNotes">'Input Data'!$D$22</definedName>
    <definedName name="DataSetNumber">'Input Data'!$J$4</definedName>
    <definedName name="DataSetSelection">'Input Data'!$J$5</definedName>
    <definedName name="DataSource">'Input Data'!$K$17</definedName>
    <definedName name="DepreciationList">#REF!</definedName>
    <definedName name="Description">'Input Data'!$D$14</definedName>
    <definedName name="DieselUse">#REF!</definedName>
    <definedName name="DryMatterList">#REF!</definedName>
    <definedName name="EBIT">#REF!</definedName>
    <definedName name="ElectricityEmissionFactor">'Carbon Calculations'!$C$61</definedName>
    <definedName name="ElectricitySource">#REF!</definedName>
    <definedName name="ElectricitySourceId">#REF!</definedName>
    <definedName name="ElectricityUse">#REF!</definedName>
    <definedName name="EmissionFactors">#REF!</definedName>
    <definedName name="EquipmentType">#REF!</definedName>
    <definedName name="EquityAvg">#REF!</definedName>
    <definedName name="EquityChange">#REF!</definedName>
    <definedName name="EquityClosing">#REF!</definedName>
    <definedName name="EquityOpening">#REF!</definedName>
    <definedName name="EquityPercentAvg">#REF!</definedName>
    <definedName name="ExpenseAgistment">'Input Data'!$D$209</definedName>
    <definedName name="ExpenseAIHerdTest">'Input Data'!$D$189</definedName>
    <definedName name="ExpenseAllFeedHomegrown">#REF!</definedName>
    <definedName name="ExpenseAnimalHealth">'Input Data'!$D$190</definedName>
    <definedName name="ExpenseCalfRearing">'Input Data'!$D$191</definedName>
    <definedName name="ExpenseCarryoverWater">#REF!</definedName>
    <definedName name="ExpenseCashFeedTotal">'Input Data'!$D$211</definedName>
    <definedName name="ExpenseCashOverheadsTotal">'Input Data'!$D$221</definedName>
    <definedName name="ExpenseCashVariableTotal">#REF!</definedName>
    <definedName name="ExpenseConcentratesPurchase">'Input Data'!$D$205</definedName>
    <definedName name="ExpenseDairySupplies">'Input Data'!$D$196</definedName>
    <definedName name="ExpenseDepreciation">'Input Data'!$D$226</definedName>
    <definedName name="ExpenseDepreciationPercent">'Input Data'!$D$225</definedName>
    <definedName name="ExpenseEmployedPeople">'Input Data'!$D$219</definedName>
    <definedName name="ExpenseFarmWorking">#REF!</definedName>
    <definedName name="ExpenseFeedInventoryChange">#REF!</definedName>
    <definedName name="ExpenseFeedTotal">#REF!</definedName>
    <definedName name="ExpenseFeedWaterInventoryChange">#REF!</definedName>
    <definedName name="ExpenseFertiliser">'Input Data'!$D$200</definedName>
    <definedName name="ExpenseFodderPurchase">'Input Data'!$D$204</definedName>
    <definedName name="ExpenseFuelOil">'Input Data'!$D$208</definedName>
    <definedName name="ExpenseHaySilage">'Input Data'!$D$203</definedName>
    <definedName name="ExpenseHerdTotal">'Input Data'!$D$193</definedName>
    <definedName name="ExpenseImputedPeople">#REF!</definedName>
    <definedName name="ExpenseInterest">'Input Data'!$D$230</definedName>
    <definedName name="ExpenseInterestLease">'Input Data'!$D$232</definedName>
    <definedName name="ExpenseIrrigation">#REF!</definedName>
    <definedName name="ExpenseIrrigationOther">'Input Data'!$D$202</definedName>
    <definedName name="ExpenseLease">'Input Data'!$D$231</definedName>
    <definedName name="ExpenseMotorVehicles">'Input Data'!$D$217</definedName>
    <definedName name="ExpenseNetLivestock">#REF!</definedName>
    <definedName name="ExpenseOtherFeed">'Input Data'!$D$210</definedName>
    <definedName name="ExpenseOtherFeedPurchase">'Input Data'!$D$206</definedName>
    <definedName name="ExpenseOtherHerd">'Input Data'!$D$192</definedName>
    <definedName name="ExpenseOtherOverheads">'Input Data'!$D$220</definedName>
    <definedName name="ExpenseOtherShed">'Input Data'!$D$197</definedName>
    <definedName name="ExpenseOverheadsTotal">#REF!</definedName>
    <definedName name="ExpensePastureCropping">'Input Data'!$D$207</definedName>
    <definedName name="ExpensePurchasedFeedAgistment">#REF!</definedName>
    <definedName name="ExpenseRates">'Input Data'!$D$215</definedName>
    <definedName name="ExpenseRegistrationInsurance">'Input Data'!$D$216</definedName>
    <definedName name="ExpenseRepairsMaintenance">'Input Data'!$D$218</definedName>
    <definedName name="ExpenseShedPower">'Input Data'!$D$195</definedName>
    <definedName name="ExpenseShedTotal">'Input Data'!$D$198</definedName>
    <definedName name="ExpenseVariableTotal">#REF!</definedName>
    <definedName name="ExpenseWaterPurchase">'Input Data'!$D$201</definedName>
    <definedName name="FeedAgistmentTDM">#REF!</definedName>
    <definedName name="FeedConcCostPerTDM">#REF!</definedName>
    <definedName name="FeedConcOtherPercentFed">#REF!</definedName>
    <definedName name="FeedConservedCostPerTDM">#REF!</definedName>
    <definedName name="FeedConservedTDMPerMilkingHa">#REF!</definedName>
    <definedName name="FeedConservedTDMPerSupportHa">#REF!</definedName>
    <definedName name="FeedConservedTDMPerUsableHa">#REF!</definedName>
    <definedName name="FeedFedConcCo2EmissionFactor">#REF!</definedName>
    <definedName name="FeedFedConcHomegrownMilkingAreaTDM">#REF!</definedName>
    <definedName name="FeedFedConcHomegrownTDM">#REF!</definedName>
    <definedName name="FeedFedConcOtherMilkingAreaTDM">#REF!</definedName>
    <definedName name="FeedFedConcPurchasedMilkingAreaTDM">#REF!</definedName>
    <definedName name="FeedFedConcPurchasedTDM">#REF!</definedName>
    <definedName name="FeedFedConcUsableAreaDigestabilityPercent">#REF!</definedName>
    <definedName name="FeedFedConcUsableAreaProteinPercent">#REF!</definedName>
    <definedName name="FeedFedConcUsableAreaTDM">#REF!</definedName>
    <definedName name="FeedFedFarmTotalCo2EmissionFactor">#REF!</definedName>
    <definedName name="FeedFedFarmTotalDigestabilityPercent">#REF!</definedName>
    <definedName name="FeedFedFarmTotalProteinPercent">#REF!</definedName>
    <definedName name="FeedFedFarmTotalTDM">#REF!</definedName>
    <definedName name="FeedFedFodderHomegrownMilkingAreaTDM">#REF!</definedName>
    <definedName name="FeedFedFodderMilkingAreaTDM">#REF!</definedName>
    <definedName name="FeedFedFodderPurchasedMilkingAreaTDM">#REF!</definedName>
    <definedName name="FeedFedFodderTotalMilkingAreaTDM">#REF!</definedName>
    <definedName name="FeedFedHayCo2EmissionFactor">#REF!</definedName>
    <definedName name="FeedFedHayHomegrownTDM">#REF!</definedName>
    <definedName name="FeedFedHayPurchasedTDM">#REF!</definedName>
    <definedName name="FeedFedHayUsableAreaDigestabilityPercent">#REF!</definedName>
    <definedName name="FeedFedHayUsableAreaProteinPercent">#REF!</definedName>
    <definedName name="FeedFedHayUsableAreaTDM">#REF!</definedName>
    <definedName name="FeedFedHomeConcMilkingAreaKgPerCowPerDay">#REF!</definedName>
    <definedName name="FeedFedHomeConcMilkingAreaTDMPerCow">#REF!</definedName>
    <definedName name="FeedFedHomeFodderMilkingAreaKgPerCowPerDay">#REF!</definedName>
    <definedName name="FeedFedHomeFodderMilkingAreaTDMPerCow">#REF!</definedName>
    <definedName name="FeedFedHomegrownUsableAreaTDM">#REF!</definedName>
    <definedName name="FeedFedOtherCo2EmissionFactor">#REF!</definedName>
    <definedName name="FeedFedOtherHomegrownTDM">#REF!</definedName>
    <definedName name="FeedFedOtherMilkingAreaKgPerCowPerDay">#REF!</definedName>
    <definedName name="FeedFedOtherMilkingAreaTDM">#REF!</definedName>
    <definedName name="FeedFedOtherMilkingAreaTDMPerCow">#REF!</definedName>
    <definedName name="FeedFedOtherPurchasedTDM">#REF!</definedName>
    <definedName name="FeedFedOtherUsableAreaDigestabilityPercent">#REF!</definedName>
    <definedName name="FeedFedOtherUsableAreaProteinPercent">#REF!</definedName>
    <definedName name="FeedFedOtherUsableAreaTDM">#REF!</definedName>
    <definedName name="FeedFedPurchasedTDM">#REF!</definedName>
    <definedName name="FeedFedPurchConcMilkingAreaKgPerCowPerDay">#REF!</definedName>
    <definedName name="FeedFedPurchConcMilkingAreaTDMPerCow">#REF!</definedName>
    <definedName name="FeedFedPurchFodderMilkingAreaKgPerCowPerDay">#REF!</definedName>
    <definedName name="FeedFedPurchFodderMilkingAreaTDMPerCow">#REF!</definedName>
    <definedName name="FeedFedSilageCo2EmissionFactor">#REF!</definedName>
    <definedName name="FeedFedSilageHomegrownTDM">#REF!</definedName>
    <definedName name="FeedFedSilagePurchasedTDM">#REF!</definedName>
    <definedName name="FeedFedSilageUsableAreaDigestabilityPercent">#REF!</definedName>
    <definedName name="FeedFedSilageUsableAreaProteinPercent">#REF!</definedName>
    <definedName name="FeedFedSilageUsableAreaTDM">#REF!</definedName>
    <definedName name="FeedFedTotalMilkingAreaTDM">#REF!</definedName>
    <definedName name="FeedFodderCostPerTDM">#REF!</definedName>
    <definedName name="FeedFodderPercentFed">#REF!</definedName>
    <definedName name="FeedGrazedCostPerTDM">#REF!</definedName>
    <definedName name="FeedGrazedMilkingAreaTDM">#REF!</definedName>
    <definedName name="FeedGrazedPercentFed">#REF!</definedName>
    <definedName name="FeedGrazedTDMPerMilkingHa">#REF!</definedName>
    <definedName name="FeedGrazedTDMPerSupportHa">#REF!</definedName>
    <definedName name="FeedGrazedTDMPerUsableHa">#REF!</definedName>
    <definedName name="FeedGrazedTotalDigestabilityPercent">#REF!</definedName>
    <definedName name="FeedGrazedTotalProteinPercent">#REF!</definedName>
    <definedName name="FeedGrazedTotalTDM">#REF!</definedName>
    <definedName name="FeedGrazedUsableAreaTDM">#REF!</definedName>
    <definedName name="FeedGroup">#REF!</definedName>
    <definedName name="FeedHomegrownConcPercentFed">#REF!</definedName>
    <definedName name="FeedHomegrownCostPerTDM">#REF!</definedName>
    <definedName name="FeedHomegrownFedPercent">#REF!</definedName>
    <definedName name="FeedHomegrownFodderPercentFed">#REF!</definedName>
    <definedName name="FeedHomegrownTDMPer100MmWater">#REF!</definedName>
    <definedName name="FeedHomegrownTDMPerMilkingHa">#REF!</definedName>
    <definedName name="FeedHomegrownTDMPerSupportHa">#REF!</definedName>
    <definedName name="FeedHomegrownTDMPerUsableHa">#REF!</definedName>
    <definedName name="FeedingSystem">#REF!</definedName>
    <definedName name="FeedingSystemId">'Input Data'!$D$119</definedName>
    <definedName name="FeedIntakeBull">'Carbon Calculations'!$I$4</definedName>
    <definedName name="FeedIntakeCow">'Carbon Calculations'!$C$4</definedName>
    <definedName name="FeedIntakeRising1">'Carbon Calculations'!$G$4</definedName>
    <definedName name="FeedIntakeRising2">'Carbon Calculations'!$E$4</definedName>
    <definedName name="FeedOtherPercentFed">#REF!</definedName>
    <definedName name="FeedPurchasedConcPercentFed">#REF!</definedName>
    <definedName name="FeedPurchasedFodderPercentFed">#REF!</definedName>
    <definedName name="FeedSource">#REF!</definedName>
    <definedName name="FertiliserKKgPerMilkingHa">#REF!</definedName>
    <definedName name="FertiliserKKgPerSupportHa">#REF!</definedName>
    <definedName name="FertiliserKKgPerUsableHa">#REF!</definedName>
    <definedName name="FertiliserKTonnes">#REF!</definedName>
    <definedName name="FertiliserLimeKgPerMilkingHa">#REF!</definedName>
    <definedName name="FertiliserLimeKgPerSupportHa">#REF!</definedName>
    <definedName name="FertiliserLimeKgPerUsableHa">#REF!</definedName>
    <definedName name="FertiliserLimeTonnes">#REF!</definedName>
    <definedName name="FertiliserList">#REF!</definedName>
    <definedName name="FertiliserNKgPerMilkingHa">#REF!</definedName>
    <definedName name="FertiliserNKgPerSupportHa">#REF!</definedName>
    <definedName name="FertiliserNKgPerUsableHa">#REF!</definedName>
    <definedName name="FertiliserNTonnes">#REF!</definedName>
    <definedName name="FertiliserPKgPerMilkingHa">#REF!</definedName>
    <definedName name="FertiliserPKgPerSupportHa">#REF!</definedName>
    <definedName name="FertiliserPKgPerUsableHa">#REF!</definedName>
    <definedName name="FertiliserPTonnes">#REF!</definedName>
    <definedName name="FertiliserSKgPerMilkingHa">#REF!</definedName>
    <definedName name="FertiliserSKgPerSupportHa">#REF!</definedName>
    <definedName name="FertiliserSKgPerUsableHa">#REF!</definedName>
    <definedName name="FertiliserSTonnes">#REF!</definedName>
    <definedName name="FinancialYearId">'Input Data'!$D$18</definedName>
    <definedName name="Hay">#REF!</definedName>
    <definedName name="HeiferAtYardsDaysPerYear">#REF!</definedName>
    <definedName name="HeiferAtYardsHoursPerDay">#REF!</definedName>
    <definedName name="ImportFileType">'Input Data'!$J$6</definedName>
    <definedName name="IncomeFarmCashTotal">#REF!</definedName>
    <definedName name="IncomeFarmOther">'Input Data'!$D$183</definedName>
    <definedName name="IncomeFeedSale">'Input Data'!$D$179</definedName>
    <definedName name="IncomeFeedWaterSale">#REF!</definedName>
    <definedName name="IncomeLivestock">'Input Data'!$D$178</definedName>
    <definedName name="IncomeLivestockTrading">#REF!</definedName>
    <definedName name="IncomeMilkTotal">'Input Data'!$D$177</definedName>
    <definedName name="IncomeNonFarm">'Input Data'!$D$184</definedName>
    <definedName name="IncomeNonFarmTotal">'Input Data'!$D$185</definedName>
    <definedName name="IncomeTotal">#REF!</definedName>
    <definedName name="IncomeTotalCash">'Input Data'!$D$181</definedName>
    <definedName name="IncomeType">#REF!</definedName>
    <definedName name="IncomeWaterSale">'Input Data'!$D$180</definedName>
    <definedName name="IsActual">'Input Data'!$D$20</definedName>
    <definedName name="IsExisting">'Input Data'!$I$13</definedName>
    <definedName name="IsIncluded">'Input Data'!$I$17</definedName>
    <definedName name="LabourCowsPerFte">#REF!</definedName>
    <definedName name="LabourFteEmployed">'Input Data'!$D$170</definedName>
    <definedName name="LabourFteOwner">'Input Data'!$D$171</definedName>
    <definedName name="LabourFteTotal">'Input Data'!$D$172</definedName>
    <definedName name="LabourKgMsPerFte">#REF!</definedName>
    <definedName name="LiabilitiesCurrentAvg">'Input Data'!$F$257</definedName>
    <definedName name="LiabilitiesCurrentClosing">'Input Data'!$E$257</definedName>
    <definedName name="LiabilitiesCurrentOpening">'Input Data'!$D$257</definedName>
    <definedName name="LiabilitiesEquipmentLoansAvg">'Input Data'!$F$258</definedName>
    <definedName name="LiabilitiesEquipmentLoansClosing">'Input Data'!$E$258</definedName>
    <definedName name="LiabilitiesEquipmentLoansOpening">'Input Data'!$D$258</definedName>
    <definedName name="LiabilitiesLongTermLoansAvg">'Input Data'!$F$259</definedName>
    <definedName name="LiabilitiesLongTermLoansClosing">'Input Data'!$E$259</definedName>
    <definedName name="LiabilitiesLongTermLoansOpening">'Input Data'!$D$259</definedName>
    <definedName name="LiabilitiesNonCurrentTotalAvg">#REF!</definedName>
    <definedName name="LiabilitiesNonCurrentTotalClosing">#REF!</definedName>
    <definedName name="LiabilitiesNonCurrentTotalOpening">#REF!</definedName>
    <definedName name="LiabilitiesTotalAvg">#REF!</definedName>
    <definedName name="LiabilitiesTotalClosing">#REF!</definedName>
    <definedName name="LiabilitiesTotalOpening">#REF!</definedName>
    <definedName name="LiabilityType">#REF!</definedName>
    <definedName name="LivestockSaleType">#REF!</definedName>
    <definedName name="LivestockType">#REF!</definedName>
    <definedName name="ManagementQ1">#REF!</definedName>
    <definedName name="ManagementQ2">#REF!</definedName>
    <definedName name="ManagementQ3">#REF!</definedName>
    <definedName name="ManualStateId">#REF!</definedName>
    <definedName name="ManureDisposalMethod">#REF!</definedName>
    <definedName name="ManureDisposalMilkerDrainToPaddockPercent">#REF!</definedName>
    <definedName name="ManureDisposalMilkerLagoonPercent">#REF!</definedName>
    <definedName name="ManureDisposalMilkerSolidStoragePercent">#REF!</definedName>
    <definedName name="ManureDisposalMilkerSumpDispersalPercent">#REF!</definedName>
    <definedName name="ManureDisposalMilkerVoidToPasturePercent">#REF!</definedName>
    <definedName name="ManureDisposalOtherDrainToPaddockPercent">#REF!</definedName>
    <definedName name="ManureDisposalOtherLagoonPercent">#REF!</definedName>
    <definedName name="ManureDisposalOtherSolidStoragePercent">#REF!</definedName>
    <definedName name="ManureDisposalOtherSumpDispersalPercent">#REF!</definedName>
    <definedName name="ManureDisposalOtherVoidToPasturePercent">#REF!</definedName>
    <definedName name="ManureFeedPadMethodId">#REF!</definedName>
    <definedName name="ManureHeiferYardsMethodId">#REF!</definedName>
    <definedName name="ManureMilkerIntegratedMcf">'Carbon Calculations'!$L$4</definedName>
    <definedName name="ManureNo2LFactorBull">'Carbon Calculations'!$I$17</definedName>
    <definedName name="ManureNo2LFactorCow">'Carbon Calculations'!$C$17</definedName>
    <definedName name="ManureNo2LFactorRising1">'Carbon Calculations'!$G$17</definedName>
    <definedName name="ManureNo2LFactorRising2">'Carbon Calculations'!$E$17</definedName>
    <definedName name="ManureOtherIntegratedMcf">'Carbon Calculations'!$L$5</definedName>
    <definedName name="ManureSpreadDailyPercent">#REF!</definedName>
    <definedName name="ManureSpreadDailyTreated">#REF!</definedName>
    <definedName name="ManureToLagoonPercent">#REF!</definedName>
    <definedName name="ManureToPaddockPercent">#REF!</definedName>
    <definedName name="ManureWasteMethod">#REF!</definedName>
    <definedName name="ManureWasteMethodId">#REF!</definedName>
    <definedName name="MenuList">#REF!</definedName>
    <definedName name="MenuNames">#REF!</definedName>
    <definedName name="MethaneBullDailyYield">'Carbon Calculations'!$I$6</definedName>
    <definedName name="MethaneCowDailyYield">'Carbon Calculations'!$C$6</definedName>
    <definedName name="MethaneCowMilkProduction">'Carbon Calculations'!$C$5</definedName>
    <definedName name="MethaneRising1DailyYield">'Carbon Calculations'!$G$6</definedName>
    <definedName name="MethaneRising2DailyYield">'Carbon Calculations'!$E$6</definedName>
    <definedName name="MilkerAtDairyDaysPerYear">#REF!</definedName>
    <definedName name="MilkerAtDairyHoursPerDay">#REF!</definedName>
    <definedName name="MilkerAtFeedPadDaysPerYear">#REF!</definedName>
    <definedName name="MilkerAtFeedPadHoursPerDay">#REF!</definedName>
    <definedName name="MilkerLactationLength">'Input Data'!$D$46</definedName>
    <definedName name="MilkFatKgFarmTotal">#REF!</definedName>
    <definedName name="MilkFatKgFarmTotalPerCow">#REF!</definedName>
    <definedName name="MilkFatKgTotal">'Input Data'!$D$96</definedName>
    <definedName name="MilkFatPercentAnnual">'Input Data'!$D$98</definedName>
    <definedName name="MilkLitresFarmTotal">#REF!</definedName>
    <definedName name="MilkLitresFarmTotalPerCow">#REF!</definedName>
    <definedName name="MilkLitresTotal">'Input Data'!$D$95</definedName>
    <definedName name="MilkNonFactoryTotalLitres">'Input Data'!$D$101</definedName>
    <definedName name="MilkProteinKgFarmTotal">#REF!</definedName>
    <definedName name="MilkProteinKgFarmTotalPerCow">#REF!</definedName>
    <definedName name="MilkProteinKgTotal">'Input Data'!$D$97</definedName>
    <definedName name="MilkProteinPercentAnnual">'Input Data'!$D$99</definedName>
    <definedName name="MilkSolidsKgFarmTotal">#REF!</definedName>
    <definedName name="MilkSolidsKgFarmTotalPerCow">#REF!</definedName>
    <definedName name="MilkSolidsKgPerKgLw">#REF!</definedName>
    <definedName name="MilkSolidsKgTotal">#REF!</definedName>
    <definedName name="MilkSolidsPercentAnnual">#REF!</definedName>
    <definedName name="MmsDrainBull">'Carbon Calculations'!$I$31</definedName>
    <definedName name="MmsDrainCow">'Carbon Calculations'!$C$31</definedName>
    <definedName name="MmsDrainRising1">'Carbon Calculations'!$G$31</definedName>
    <definedName name="MmsDrainRising2">'Carbon Calculations'!$E$31</definedName>
    <definedName name="MmsLagoonBull">'Carbon Calculations'!$I$29</definedName>
    <definedName name="MmsLagoonCow">'Carbon Calculations'!$C$29</definedName>
    <definedName name="MmsLagoonRising1">'Carbon Calculations'!$G$29</definedName>
    <definedName name="MmsLagoonRising2">'Carbon Calculations'!$E$29</definedName>
    <definedName name="MmsSolidBull">'Carbon Calculations'!$I$32</definedName>
    <definedName name="MmsSolidCow">'Carbon Calculations'!$C$32</definedName>
    <definedName name="MmsSolidRising1">'Carbon Calculations'!$G$32</definedName>
    <definedName name="MmsSolidRising2">'Carbon Calculations'!$E$32</definedName>
    <definedName name="MmsSumpBull">'Carbon Calculations'!$I$30</definedName>
    <definedName name="MmsSumpCow">'Carbon Calculations'!$C$30</definedName>
    <definedName name="MmsSumpRising1">'Carbon Calculations'!$G$30</definedName>
    <definedName name="MmsSumpRising2">'Carbon Calculations'!$E$30</definedName>
    <definedName name="MnatmosDrainBull">'Carbon Calculations'!$I$42</definedName>
    <definedName name="MnatmosDrainCow">'Carbon Calculations'!$C$42</definedName>
    <definedName name="MnatmosDrainRising1">'Carbon Calculations'!$G$42</definedName>
    <definedName name="MnatmosDrainRising2">'Carbon Calculations'!$E$42</definedName>
    <definedName name="MnatmosLagoonBull">'Carbon Calculations'!$I$40</definedName>
    <definedName name="MnatmosLagoonCow">'Carbon Calculations'!$C$40</definedName>
    <definedName name="MnatmosLagoonRising1">'Carbon Calculations'!$G$40</definedName>
    <definedName name="MnatmosLagoonRising2">'Carbon Calculations'!$E$40</definedName>
    <definedName name="MnatmosSolidBull">'Carbon Calculations'!$I$43</definedName>
    <definedName name="MnatmosSolidCow">'Carbon Calculations'!$C$43</definedName>
    <definedName name="MnatmosSolidRising1">'Carbon Calculations'!$G$43</definedName>
    <definedName name="MnatmosSolidRising2">'Carbon Calculations'!$E$43</definedName>
    <definedName name="MnatmosSumpBull">'Carbon Calculations'!$I$41</definedName>
    <definedName name="MnatmosSumpCow">'Carbon Calculations'!$C$41</definedName>
    <definedName name="MnatmosSumpRising1">'Carbon Calculations'!$G$41</definedName>
    <definedName name="MnatmosSumpRising2">'Carbon Calculations'!$E$41</definedName>
    <definedName name="MnDrainBull">'Carbon Calculations'!$I$35</definedName>
    <definedName name="MnDrainCow">'Carbon Calculations'!$C$35</definedName>
    <definedName name="MnDrainRising1">'Carbon Calculations'!$G$35</definedName>
    <definedName name="MnDrainRising2">'Carbon Calculations'!$E$35</definedName>
    <definedName name="MnLagoonBull">'Carbon Calculations'!$I$33</definedName>
    <definedName name="MnLagoonCow">'Carbon Calculations'!$C$33</definedName>
    <definedName name="MnLagoonRising1">'Carbon Calculations'!$G$33</definedName>
    <definedName name="MnLagoonRising2">'Carbon Calculations'!$E$33</definedName>
    <definedName name="MnSolidBull">'Carbon Calculations'!$I$36</definedName>
    <definedName name="MnSolidCow">'Carbon Calculations'!$C$36</definedName>
    <definedName name="MnSolidLeachBull">'Carbon Calculations'!$I$44</definedName>
    <definedName name="MnSolidLeachCow">'Carbon Calculations'!$C$44</definedName>
    <definedName name="MnSolidLeachRising1">'Carbon Calculations'!$G$44</definedName>
    <definedName name="MnSolidLeachRising2">'Carbon Calculations'!$E$44</definedName>
    <definedName name="MnSolidRising1">'Carbon Calculations'!$G$36</definedName>
    <definedName name="MnSolidRising2">'Carbon Calculations'!$E$36</definedName>
    <definedName name="MnSumpBull">'Carbon Calculations'!$I$34</definedName>
    <definedName name="MnSumpCow">'Carbon Calculations'!$C$34</definedName>
    <definedName name="MnSumpRising1">'Carbon Calculations'!$G$34</definedName>
    <definedName name="MnSumpRising2">'Carbon Calculations'!$E$34</definedName>
    <definedName name="MonthlyList">#REF!</definedName>
    <definedName name="MonthNumbers">#REF!</definedName>
    <definedName name="Months">#REF!</definedName>
    <definedName name="Name">'Input Data'!$D$12</definedName>
    <definedName name="NetProfitBeforeTax">#REF!</definedName>
    <definedName name="NinBodyBull">'Carbon Calculations'!$I$18</definedName>
    <definedName name="NinBodyCow">'Carbon Calculations'!$C$18</definedName>
    <definedName name="NinBodyRising1">'Carbon Calculations'!$G$18</definedName>
    <definedName name="NinBodyRising2">'Carbon Calculations'!$E$18</definedName>
    <definedName name="NinFaecesBull">'Carbon Calculations'!$I$15</definedName>
    <definedName name="NinFaecesBullTotal">'Carbon Calculations'!$I$16</definedName>
    <definedName name="NinFaecesCow">'Carbon Calculations'!$C$15</definedName>
    <definedName name="NinFaecesCowTotal">'Carbon Calculations'!$C$16</definedName>
    <definedName name="NinFaecesRising1">'Carbon Calculations'!$G$15</definedName>
    <definedName name="NinFaecesRising1Total">'Carbon Calculations'!$G$16</definedName>
    <definedName name="NinFaecesRising2">'Carbon Calculations'!$E$15</definedName>
    <definedName name="NinFaecesRising2Total">'Carbon Calculations'!$E$16</definedName>
    <definedName name="NinUrineBull">'Carbon Calculations'!$I$19</definedName>
    <definedName name="NinUrineCow">'Carbon Calculations'!$C$19</definedName>
    <definedName name="NinUrineRising1">'Carbon Calculations'!$G$19</definedName>
    <definedName name="NinUrineRising2">'Carbon Calculations'!$E$19</definedName>
    <definedName name="NinUrineTotalBull">'Carbon Calculations'!$I$20</definedName>
    <definedName name="NinUrineTotalCow">'Carbon Calculations'!$C$20</definedName>
    <definedName name="NinUrineTotalRising1">'Carbon Calculations'!$G$20</definedName>
    <definedName name="NinUrineTotalRising2">'Carbon Calculations'!$E$20</definedName>
    <definedName name="NitrogenIntakeBull">'Carbon Calculations'!$I$14</definedName>
    <definedName name="NitrogenIntakeCow">'Carbon Calculations'!$C$14</definedName>
    <definedName name="NitrogenIntakeRising1">'Carbon Calculations'!$G$14</definedName>
    <definedName name="NitrogenIntakeRising2">'Carbon Calculations'!$E$14</definedName>
    <definedName name="No2FaecesPastureBull">'Carbon Calculations'!$I$23</definedName>
    <definedName name="No2FaecesPastureCow">'Carbon Calculations'!$C$23</definedName>
    <definedName name="No2FaecesPastureRising1">'Carbon Calculations'!$G$23</definedName>
    <definedName name="No2FaecesPastureRising2">'Carbon Calculations'!$E$23</definedName>
    <definedName name="No2IndirectLeaching">'Carbon Calculations'!$C$52</definedName>
    <definedName name="No2IndirectNh4">'Carbon Calculations'!$C$51</definedName>
    <definedName name="No2UrinePastureBull">'Carbon Calculations'!$I$24</definedName>
    <definedName name="No2UrinePastureCow">'Carbon Calculations'!$C$24</definedName>
    <definedName name="No2UrinePastureRising1">'Carbon Calculations'!$G$24</definedName>
    <definedName name="No2UrinePastureRising2">'Carbon Calculations'!$E$24</definedName>
    <definedName name="NwasteTotalBull">'Carbon Calculations'!$I$28</definedName>
    <definedName name="NwasteTotalCow">'Carbon Calculations'!$C$28</definedName>
    <definedName name="NwasteTotalRising1">'Carbon Calculations'!$G$28</definedName>
    <definedName name="NwasteTotalRising2">'Carbon Calculations'!$E$28</definedName>
    <definedName name="OperatingCostTotal">#REF!</definedName>
    <definedName name="OperatingGrossMargin">#REF!</definedName>
    <definedName name="Other_Feed">#REF!</definedName>
    <definedName name="OtherLivestockList">#REF!</definedName>
    <definedName name="OtherLivestockLiveweightKg">#REF!</definedName>
    <definedName name="PlantationArea">#REF!</definedName>
    <definedName name="PlantationCooSequestered">#REF!</definedName>
    <definedName name="PlantationDataMethod">#REF!</definedName>
    <definedName name="PlantationDataMethodId">#REF!</definedName>
    <definedName name="PlantationType">#REF!</definedName>
    <definedName name="PlantationTypeId">#REF!</definedName>
    <definedName name="PrivacyList">#REF!</definedName>
    <definedName name="PrivacySettingId">'Input Data'!$D$19</definedName>
    <definedName name="RainfallAnnualAvgMm">'Input Data'!$D$161</definedName>
    <definedName name="RainfallAnnualCcMm">#REF!</definedName>
    <definedName name="RainfallAnnualMm">'Input Data'!$D$160</definedName>
    <definedName name="RegionCodeList">#REF!</definedName>
    <definedName name="RegionId">'Input Data'!$D$17</definedName>
    <definedName name="RegionList">#REF!</definedName>
    <definedName name="ReturnEquityExclAppreciation">#REF!</definedName>
    <definedName name="ReturnOnAssetsExclAppreciation">#REF!</definedName>
    <definedName name="ReturnOnCapitalExclAppreciation">#REF!</definedName>
    <definedName name="Rising1HeiferLiveweightKg">#REF!</definedName>
    <definedName name="Rising1HeiferLwtGainKgPerDay">#REF!</definedName>
    <definedName name="Rising1HeiferNumber">#REF!</definedName>
    <definedName name="Rising2HeiferLiveweightKg">#REF!</definedName>
    <definedName name="Rising2HeiferLwtGainKgPerDay">#REF!</definedName>
    <definedName name="Rising2HeiferNumber">#REF!</definedName>
    <definedName name="ScenarioList">#REF!</definedName>
    <definedName name="Silage">#REF!</definedName>
    <definedName name="StateId">#REF!</definedName>
    <definedName name="StateList">#REF!</definedName>
    <definedName name="StockArea">#REF!</definedName>
    <definedName name="SwitchCowCalvingMonthly">'Input Data'!$D$43</definedName>
    <definedName name="SwitchDepreciation">'Input Data'!$D$224</definedName>
    <definedName name="SwitchFinanceColumn1">#REF!</definedName>
    <definedName name="SwitchFinanceColumn2">#REF!</definedName>
    <definedName name="SwitchFinanceColumn3">#REF!</definedName>
    <definedName name="SwitchMilkComposition">'Input Data'!$D$92</definedName>
    <definedName name="SwitchMilkMonthlyAnnual">'Input Data'!$D$91</definedName>
    <definedName name="TerrainId">'Input Data'!$D$38</definedName>
    <definedName name="TerrainList">#REF!</definedName>
    <definedName name="TrueFalse">#REF!</definedName>
    <definedName name="UnpaidLabourType">#REF!</definedName>
    <definedName name="UserCalving">'Input Data'!$D$49:$F$60</definedName>
    <definedName name="UserCalvingA1">'Input Data'!$D$49</definedName>
    <definedName name="UserFeed">'Input Data'!$D$121:$AG$141</definedName>
    <definedName name="UserFeedA1">'Input Data'!$D$121</definedName>
    <definedName name="UserFertiliser">'Input Data'!$D$145:$S$156</definedName>
    <definedName name="UserFertiliserA1">'Input Data'!$D$145</definedName>
    <definedName name="UserLivestock">'Input Data'!$D$64:$H$87</definedName>
    <definedName name="UserLivestockA1">'Input Data'!$D$64</definedName>
    <definedName name="UserLivestockA2">'Input Data'!$D$69</definedName>
    <definedName name="UserLivestockA3">'Input Data'!$D$76</definedName>
    <definedName name="UserLivestockA4">'Input Data'!$D$80</definedName>
    <definedName name="UserMilk">'Input Data'!$D$103:$H$114</definedName>
    <definedName name="UserMilkA1">'Input Data'!$D$103</definedName>
    <definedName name="VolatileSolidsBull">'Carbon Calculations'!$I$10</definedName>
    <definedName name="VolatileSolidsCow">'Carbon Calculations'!$C$10</definedName>
    <definedName name="VolatileSolidsRising1">'Carbon Calculations'!$G$10</definedName>
    <definedName name="VolatileSolidsRising2">'Carbon Calculations'!$E$10</definedName>
    <definedName name="WaterCarryoverClosingML">'Input Data'!$E$164</definedName>
    <definedName name="WaterCarryoverClosingPricePerML">'Input Data'!$E$165</definedName>
    <definedName name="WaterCarryoverOpeningML">'Input Data'!$D$164</definedName>
    <definedName name="WaterCarryoverOpeningPricePerML">'Input Data'!$D$165</definedName>
    <definedName name="WaterIrrigationTotalML">'Input Data'!$D$162</definedName>
    <definedName name="WaterMegalitresPerHaIrrigated">#REF!</definedName>
    <definedName name="WaterPrice">#REF!</definedName>
    <definedName name="WaterTotalMmPerHaIrrigated">#REF!</definedName>
    <definedName name="WaterUseEfficiency">#REF!</definedName>
    <definedName name="YearId">#REF!</definedName>
    <definedName name="YearList">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7" i="4" l="1"/>
  <c r="E126" i="4"/>
  <c r="E124" i="4"/>
  <c r="F123" i="4"/>
  <c r="E123" i="4"/>
  <c r="F122" i="4"/>
  <c r="E122" i="4"/>
  <c r="F121" i="4"/>
  <c r="E121" i="4"/>
  <c r="F120" i="4"/>
  <c r="F124" i="4" s="1"/>
  <c r="E120" i="4"/>
  <c r="F119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J97" i="4"/>
  <c r="E97" i="4"/>
  <c r="I96" i="4"/>
  <c r="E96" i="4"/>
  <c r="I95" i="4"/>
  <c r="E95" i="4"/>
  <c r="I94" i="4"/>
  <c r="E94" i="4"/>
  <c r="I93" i="4"/>
  <c r="E93" i="4"/>
  <c r="I92" i="4"/>
  <c r="E92" i="4"/>
  <c r="I91" i="4"/>
  <c r="E91" i="4"/>
  <c r="I90" i="4"/>
  <c r="E90" i="4"/>
  <c r="I89" i="4"/>
  <c r="E89" i="4"/>
  <c r="I88" i="4"/>
  <c r="E88" i="4"/>
  <c r="I87" i="4"/>
  <c r="E87" i="4"/>
  <c r="I86" i="4"/>
  <c r="E86" i="4"/>
  <c r="I85" i="4"/>
  <c r="I97" i="4" s="1"/>
  <c r="E85" i="4"/>
  <c r="I84" i="4"/>
  <c r="E84" i="4"/>
  <c r="C79" i="4"/>
  <c r="C78" i="4"/>
  <c r="C77" i="4"/>
  <c r="C76" i="4"/>
  <c r="C75" i="4"/>
  <c r="C80" i="4" s="1"/>
  <c r="D117" i="4" s="1"/>
  <c r="C70" i="4"/>
  <c r="C69" i="4"/>
  <c r="C68" i="4"/>
  <c r="C67" i="4"/>
  <c r="C71" i="4" s="1"/>
  <c r="D115" i="4" s="1"/>
  <c r="C64" i="4"/>
  <c r="D114" i="4" s="1"/>
  <c r="C61" i="4"/>
  <c r="C62" i="4" s="1"/>
  <c r="D113" i="4" s="1"/>
  <c r="C57" i="4"/>
  <c r="C58" i="4" s="1"/>
  <c r="D118" i="4" s="1"/>
  <c r="C56" i="4"/>
  <c r="C52" i="4"/>
  <c r="C53" i="4" s="1"/>
  <c r="D110" i="4" s="1"/>
  <c r="D112" i="4" s="1"/>
  <c r="C51" i="4"/>
  <c r="C50" i="4"/>
  <c r="D109" i="4" s="1"/>
  <c r="C5" i="4"/>
  <c r="C4" i="4" s="1"/>
  <c r="C17" i="4" s="1"/>
  <c r="C18" i="4" s="1"/>
  <c r="E4" i="4"/>
  <c r="E10" i="4" s="1"/>
  <c r="E11" i="4" s="1"/>
  <c r="D90" i="4" s="1"/>
  <c r="I4" i="4"/>
  <c r="G4" i="4"/>
  <c r="F257" i="1"/>
  <c r="F253" i="1"/>
  <c r="F252" i="1"/>
  <c r="F251" i="1"/>
  <c r="F249" i="1"/>
  <c r="F247" i="1"/>
  <c r="F246" i="1"/>
  <c r="F245" i="1"/>
  <c r="F243" i="1"/>
  <c r="D232" i="1"/>
  <c r="D211" i="1"/>
  <c r="D198" i="1"/>
  <c r="D193" i="1"/>
  <c r="D185" i="1"/>
  <c r="D181" i="1"/>
  <c r="D172" i="1"/>
  <c r="E166" i="1"/>
  <c r="D166" i="1"/>
  <c r="E165" i="1"/>
  <c r="D165" i="1"/>
  <c r="S156" i="1"/>
  <c r="S151" i="1" s="1"/>
  <c r="R156" i="1"/>
  <c r="R151" i="1" s="1"/>
  <c r="Q156" i="1"/>
  <c r="Q151" i="1" s="1"/>
  <c r="P156" i="1"/>
  <c r="P151" i="1" s="1"/>
  <c r="O156" i="1"/>
  <c r="O151" i="1" s="1"/>
  <c r="N156" i="1"/>
  <c r="N151" i="1" s="1"/>
  <c r="M156" i="1"/>
  <c r="M151" i="1" s="1"/>
  <c r="L156" i="1"/>
  <c r="L151" i="1" s="1"/>
  <c r="K156" i="1"/>
  <c r="J156" i="1"/>
  <c r="J151" i="1" s="1"/>
  <c r="I156" i="1"/>
  <c r="H156" i="1"/>
  <c r="H151" i="1" s="1"/>
  <c r="G156" i="1"/>
  <c r="G151" i="1" s="1"/>
  <c r="F156" i="1"/>
  <c r="F151" i="1" s="1"/>
  <c r="E156" i="1"/>
  <c r="E151" i="1" s="1"/>
  <c r="D156" i="1"/>
  <c r="D151" i="1" s="1"/>
  <c r="S155" i="1"/>
  <c r="S150" i="1" s="1"/>
  <c r="R155" i="1"/>
  <c r="R150" i="1" s="1"/>
  <c r="Q155" i="1"/>
  <c r="Q150" i="1" s="1"/>
  <c r="P155" i="1"/>
  <c r="P150" i="1" s="1"/>
  <c r="O155" i="1"/>
  <c r="N155" i="1"/>
  <c r="N150" i="1" s="1"/>
  <c r="M155" i="1"/>
  <c r="L155" i="1"/>
  <c r="L150" i="1" s="1"/>
  <c r="K155" i="1"/>
  <c r="K150" i="1" s="1"/>
  <c r="J155" i="1"/>
  <c r="J150" i="1" s="1"/>
  <c r="I155" i="1"/>
  <c r="I150" i="1" s="1"/>
  <c r="H155" i="1"/>
  <c r="H150" i="1" s="1"/>
  <c r="G155" i="1"/>
  <c r="G150" i="1" s="1"/>
  <c r="F155" i="1"/>
  <c r="F150" i="1" s="1"/>
  <c r="E155" i="1"/>
  <c r="E150" i="1" s="1"/>
  <c r="D155" i="1"/>
  <c r="D150" i="1" s="1"/>
  <c r="S154" i="1"/>
  <c r="S149" i="1" s="1"/>
  <c r="R154" i="1"/>
  <c r="R149" i="1" s="1"/>
  <c r="Q154" i="1"/>
  <c r="P154" i="1"/>
  <c r="P149" i="1" s="1"/>
  <c r="O154" i="1"/>
  <c r="O149" i="1" s="1"/>
  <c r="N154" i="1"/>
  <c r="N149" i="1" s="1"/>
  <c r="M154" i="1"/>
  <c r="M149" i="1" s="1"/>
  <c r="L154" i="1"/>
  <c r="L149" i="1" s="1"/>
  <c r="K154" i="1"/>
  <c r="K149" i="1" s="1"/>
  <c r="J154" i="1"/>
  <c r="J149" i="1" s="1"/>
  <c r="I154" i="1"/>
  <c r="I149" i="1" s="1"/>
  <c r="H154" i="1"/>
  <c r="H149" i="1" s="1"/>
  <c r="G154" i="1"/>
  <c r="G149" i="1" s="1"/>
  <c r="F154" i="1"/>
  <c r="F149" i="1" s="1"/>
  <c r="E154" i="1"/>
  <c r="D154" i="1"/>
  <c r="S153" i="1"/>
  <c r="S148" i="1" s="1"/>
  <c r="R153" i="1"/>
  <c r="R148" i="1" s="1"/>
  <c r="Q153" i="1"/>
  <c r="Q148" i="1" s="1"/>
  <c r="P153" i="1"/>
  <c r="P148" i="1" s="1"/>
  <c r="O153" i="1"/>
  <c r="O148" i="1" s="1"/>
  <c r="N153" i="1"/>
  <c r="N148" i="1" s="1"/>
  <c r="M153" i="1"/>
  <c r="M148" i="1" s="1"/>
  <c r="L153" i="1"/>
  <c r="L148" i="1" s="1"/>
  <c r="K153" i="1"/>
  <c r="J153" i="1"/>
  <c r="J148" i="1" s="1"/>
  <c r="I153" i="1"/>
  <c r="H153" i="1"/>
  <c r="H148" i="1" s="1"/>
  <c r="G153" i="1"/>
  <c r="G148" i="1" s="1"/>
  <c r="F153" i="1"/>
  <c r="F148" i="1" s="1"/>
  <c r="E153" i="1"/>
  <c r="E148" i="1" s="1"/>
  <c r="D153" i="1"/>
  <c r="D148" i="1" s="1"/>
  <c r="K151" i="1"/>
  <c r="I151" i="1"/>
  <c r="O150" i="1"/>
  <c r="M150" i="1"/>
  <c r="Q149" i="1"/>
  <c r="E149" i="1"/>
  <c r="D149" i="1"/>
  <c r="K148" i="1"/>
  <c r="I148" i="1"/>
  <c r="AF141" i="1"/>
  <c r="AF128" i="1" s="1"/>
  <c r="T141" i="1"/>
  <c r="T128" i="1" s="1"/>
  <c r="H141" i="1"/>
  <c r="H128" i="1" s="1"/>
  <c r="D141" i="1"/>
  <c r="AG140" i="1"/>
  <c r="AF140" i="1"/>
  <c r="AE140" i="1"/>
  <c r="AD140" i="1"/>
  <c r="AC140" i="1"/>
  <c r="AB140" i="1"/>
  <c r="AA140" i="1"/>
  <c r="Z140" i="1"/>
  <c r="Z127" i="1" s="1"/>
  <c r="Y140" i="1"/>
  <c r="Y127" i="1" s="1"/>
  <c r="X140" i="1"/>
  <c r="X127" i="1" s="1"/>
  <c r="W140" i="1"/>
  <c r="W127" i="1" s="1"/>
  <c r="V140" i="1"/>
  <c r="V127" i="1" s="1"/>
  <c r="U140" i="1"/>
  <c r="U127" i="1" s="1"/>
  <c r="T140" i="1"/>
  <c r="T127" i="1" s="1"/>
  <c r="S140" i="1"/>
  <c r="S127" i="1" s="1"/>
  <c r="R140" i="1"/>
  <c r="R127" i="1" s="1"/>
  <c r="Q140" i="1"/>
  <c r="Q127" i="1" s="1"/>
  <c r="P140" i="1"/>
  <c r="P127" i="1" s="1"/>
  <c r="O140" i="1"/>
  <c r="N140" i="1"/>
  <c r="N127" i="1" s="1"/>
  <c r="M140" i="1"/>
  <c r="M127" i="1" s="1"/>
  <c r="L140" i="1"/>
  <c r="L127" i="1" s="1"/>
  <c r="K140" i="1"/>
  <c r="J140" i="1"/>
  <c r="J127" i="1" s="1"/>
  <c r="I140" i="1"/>
  <c r="I127" i="1" s="1"/>
  <c r="H140" i="1"/>
  <c r="H127" i="1" s="1"/>
  <c r="G140" i="1"/>
  <c r="G127" i="1" s="1"/>
  <c r="F140" i="1"/>
  <c r="F127" i="1" s="1"/>
  <c r="E140" i="1"/>
  <c r="E127" i="1" s="1"/>
  <c r="D140" i="1"/>
  <c r="AG139" i="1"/>
  <c r="AF139" i="1"/>
  <c r="AF126" i="1" s="1"/>
  <c r="AE139" i="1"/>
  <c r="AE126" i="1" s="1"/>
  <c r="AD139" i="1"/>
  <c r="AD126" i="1" s="1"/>
  <c r="AC139" i="1"/>
  <c r="AB139" i="1"/>
  <c r="AB126" i="1" s="1"/>
  <c r="AA139" i="1"/>
  <c r="AA126" i="1" s="1"/>
  <c r="Z139" i="1"/>
  <c r="Z126" i="1" s="1"/>
  <c r="Y139" i="1"/>
  <c r="Y126" i="1" s="1"/>
  <c r="X139" i="1"/>
  <c r="X126" i="1" s="1"/>
  <c r="W139" i="1"/>
  <c r="W126" i="1" s="1"/>
  <c r="V139" i="1"/>
  <c r="V126" i="1" s="1"/>
  <c r="U139" i="1"/>
  <c r="T139" i="1"/>
  <c r="T126" i="1" s="1"/>
  <c r="S139" i="1"/>
  <c r="S126" i="1" s="1"/>
  <c r="R139" i="1"/>
  <c r="R126" i="1" s="1"/>
  <c r="Q139" i="1"/>
  <c r="Q126" i="1" s="1"/>
  <c r="P139" i="1"/>
  <c r="P126" i="1" s="1"/>
  <c r="O139" i="1"/>
  <c r="O126" i="1" s="1"/>
  <c r="N139" i="1"/>
  <c r="N126" i="1" s="1"/>
  <c r="M139" i="1"/>
  <c r="M126" i="1" s="1"/>
  <c r="L139" i="1"/>
  <c r="L126" i="1" s="1"/>
  <c r="K139" i="1"/>
  <c r="K126" i="1" s="1"/>
  <c r="J139" i="1"/>
  <c r="J126" i="1" s="1"/>
  <c r="I139" i="1"/>
  <c r="H139" i="1"/>
  <c r="H126" i="1" s="1"/>
  <c r="G139" i="1"/>
  <c r="G126" i="1" s="1"/>
  <c r="F139" i="1"/>
  <c r="F126" i="1" s="1"/>
  <c r="E139" i="1"/>
  <c r="E126" i="1" s="1"/>
  <c r="D139" i="1"/>
  <c r="AG138" i="1"/>
  <c r="AG125" i="1" s="1"/>
  <c r="AG141" i="1" s="1"/>
  <c r="AG128" i="1" s="1"/>
  <c r="AF138" i="1"/>
  <c r="AF125" i="1" s="1"/>
  <c r="AE138" i="1"/>
  <c r="AE125" i="1" s="1"/>
  <c r="AE141" i="1" s="1"/>
  <c r="AE128" i="1" s="1"/>
  <c r="AD138" i="1"/>
  <c r="AD125" i="1" s="1"/>
  <c r="AD141" i="1" s="1"/>
  <c r="AD128" i="1" s="1"/>
  <c r="AC138" i="1"/>
  <c r="AC125" i="1" s="1"/>
  <c r="AC141" i="1" s="1"/>
  <c r="AC128" i="1" s="1"/>
  <c r="AB138" i="1"/>
  <c r="AB125" i="1" s="1"/>
  <c r="AB141" i="1" s="1"/>
  <c r="AB128" i="1" s="1"/>
  <c r="AA138" i="1"/>
  <c r="Z138" i="1"/>
  <c r="Z125" i="1" s="1"/>
  <c r="Z141" i="1" s="1"/>
  <c r="Z128" i="1" s="1"/>
  <c r="Y138" i="1"/>
  <c r="Y125" i="1" s="1"/>
  <c r="Y141" i="1" s="1"/>
  <c r="Y128" i="1" s="1"/>
  <c r="X138" i="1"/>
  <c r="X125" i="1" s="1"/>
  <c r="X141" i="1" s="1"/>
  <c r="X128" i="1" s="1"/>
  <c r="W138" i="1"/>
  <c r="W125" i="1" s="1"/>
  <c r="W141" i="1" s="1"/>
  <c r="W128" i="1" s="1"/>
  <c r="V138" i="1"/>
  <c r="V125" i="1" s="1"/>
  <c r="V141" i="1" s="1"/>
  <c r="V128" i="1" s="1"/>
  <c r="U138" i="1"/>
  <c r="U125" i="1" s="1"/>
  <c r="U141" i="1" s="1"/>
  <c r="U128" i="1" s="1"/>
  <c r="T138" i="1"/>
  <c r="T125" i="1" s="1"/>
  <c r="S138" i="1"/>
  <c r="S125" i="1" s="1"/>
  <c r="S141" i="1" s="1"/>
  <c r="S128" i="1" s="1"/>
  <c r="R138" i="1"/>
  <c r="R125" i="1" s="1"/>
  <c r="R141" i="1" s="1"/>
  <c r="R128" i="1" s="1"/>
  <c r="Q138" i="1"/>
  <c r="Q125" i="1" s="1"/>
  <c r="Q141" i="1" s="1"/>
  <c r="Q128" i="1" s="1"/>
  <c r="P138" i="1"/>
  <c r="P125" i="1" s="1"/>
  <c r="P141" i="1" s="1"/>
  <c r="P128" i="1" s="1"/>
  <c r="O138" i="1"/>
  <c r="N138" i="1"/>
  <c r="N125" i="1" s="1"/>
  <c r="N141" i="1" s="1"/>
  <c r="N128" i="1" s="1"/>
  <c r="M138" i="1"/>
  <c r="M125" i="1" s="1"/>
  <c r="M141" i="1" s="1"/>
  <c r="M128" i="1" s="1"/>
  <c r="L138" i="1"/>
  <c r="L125" i="1" s="1"/>
  <c r="L141" i="1" s="1"/>
  <c r="L128" i="1" s="1"/>
  <c r="K138" i="1"/>
  <c r="K125" i="1" s="1"/>
  <c r="K141" i="1" s="1"/>
  <c r="K128" i="1" s="1"/>
  <c r="J138" i="1"/>
  <c r="J125" i="1" s="1"/>
  <c r="J141" i="1" s="1"/>
  <c r="J128" i="1" s="1"/>
  <c r="I138" i="1"/>
  <c r="I125" i="1" s="1"/>
  <c r="I141" i="1" s="1"/>
  <c r="I128" i="1" s="1"/>
  <c r="H138" i="1"/>
  <c r="H125" i="1" s="1"/>
  <c r="G138" i="1"/>
  <c r="G125" i="1" s="1"/>
  <c r="G141" i="1" s="1"/>
  <c r="G128" i="1" s="1"/>
  <c r="F138" i="1"/>
  <c r="F125" i="1" s="1"/>
  <c r="F141" i="1" s="1"/>
  <c r="F128" i="1" s="1"/>
  <c r="E138" i="1"/>
  <c r="E125" i="1" s="1"/>
  <c r="E141" i="1" s="1"/>
  <c r="E128" i="1" s="1"/>
  <c r="D138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AG127" i="1"/>
  <c r="AF127" i="1"/>
  <c r="AE127" i="1"/>
  <c r="AD127" i="1"/>
  <c r="AC127" i="1"/>
  <c r="AB127" i="1"/>
  <c r="AA127" i="1"/>
  <c r="O127" i="1"/>
  <c r="K127" i="1"/>
  <c r="AG126" i="1"/>
  <c r="AC126" i="1"/>
  <c r="U126" i="1"/>
  <c r="I126" i="1"/>
  <c r="AA125" i="1"/>
  <c r="AA141" i="1" s="1"/>
  <c r="AA128" i="1" s="1"/>
  <c r="O125" i="1"/>
  <c r="O141" i="1" s="1"/>
  <c r="O128" i="1" s="1"/>
  <c r="E119" i="1"/>
  <c r="F115" i="1"/>
  <c r="E115" i="1"/>
  <c r="D115" i="1"/>
  <c r="G115" i="1" s="1"/>
  <c r="D101" i="1"/>
  <c r="H87" i="1"/>
  <c r="H86" i="1" s="1"/>
  <c r="D87" i="1"/>
  <c r="G87" i="1" s="1"/>
  <c r="D86" i="1"/>
  <c r="G86" i="1" s="1"/>
  <c r="H83" i="1"/>
  <c r="G83" i="1"/>
  <c r="F83" i="1"/>
  <c r="E83" i="1"/>
  <c r="D83" i="1"/>
  <c r="I78" i="1"/>
  <c r="H77" i="1"/>
  <c r="H78" i="1" s="1"/>
  <c r="G77" i="1"/>
  <c r="G78" i="1" s="1"/>
  <c r="F70" i="1"/>
  <c r="F77" i="1" s="1"/>
  <c r="F78" i="1" s="1"/>
  <c r="E70" i="1"/>
  <c r="E77" i="1" s="1"/>
  <c r="E78" i="1" s="1"/>
  <c r="D70" i="1"/>
  <c r="D77" i="1" s="1"/>
  <c r="D78" i="1" s="1"/>
  <c r="F61" i="1"/>
  <c r="E61" i="1"/>
  <c r="G60" i="1"/>
  <c r="G59" i="1"/>
  <c r="G58" i="1"/>
  <c r="G57" i="1"/>
  <c r="G56" i="1"/>
  <c r="G55" i="1"/>
  <c r="G54" i="1"/>
  <c r="G53" i="1"/>
  <c r="G52" i="1"/>
  <c r="G51" i="1"/>
  <c r="G50" i="1"/>
  <c r="G49" i="1"/>
  <c r="D36" i="1"/>
  <c r="D32" i="1"/>
  <c r="D28" i="1"/>
  <c r="D30" i="1" s="1"/>
  <c r="G61" i="1" l="1"/>
  <c r="H115" i="1"/>
  <c r="C72" i="4"/>
  <c r="D116" i="4" s="1"/>
  <c r="C6" i="4"/>
  <c r="C7" i="4" s="1"/>
  <c r="D84" i="4" s="1"/>
  <c r="E6" i="4"/>
  <c r="C10" i="4"/>
  <c r="C11" i="4" s="1"/>
  <c r="D89" i="4" s="1"/>
  <c r="E7" i="4"/>
  <c r="D85" i="4" s="1"/>
  <c r="D123" i="4"/>
  <c r="D111" i="4"/>
  <c r="G10" i="4"/>
  <c r="G11" i="4" s="1"/>
  <c r="D91" i="4" s="1"/>
  <c r="D93" i="4" s="1"/>
  <c r="G17" i="4"/>
  <c r="G18" i="4" s="1"/>
  <c r="G14" i="4"/>
  <c r="G6" i="4"/>
  <c r="G7" i="4" s="1"/>
  <c r="D86" i="4" s="1"/>
  <c r="I10" i="4"/>
  <c r="I11" i="4" s="1"/>
  <c r="D92" i="4" s="1"/>
  <c r="I17" i="4"/>
  <c r="I18" i="4" s="1"/>
  <c r="I14" i="4"/>
  <c r="I6" i="4"/>
  <c r="I7" i="4" s="1"/>
  <c r="D87" i="4" s="1"/>
  <c r="E87" i="1"/>
  <c r="C14" i="4"/>
  <c r="F87" i="1"/>
  <c r="E14" i="4"/>
  <c r="E17" i="4"/>
  <c r="E18" i="4" s="1"/>
  <c r="E86" i="1"/>
  <c r="F86" i="1"/>
  <c r="C15" i="4" l="1"/>
  <c r="C16" i="4" s="1"/>
  <c r="I15" i="4"/>
  <c r="I16" i="4" s="1"/>
  <c r="E15" i="4"/>
  <c r="E16" i="4" s="1"/>
  <c r="D88" i="4"/>
  <c r="G15" i="4"/>
  <c r="G16" i="4" s="1"/>
  <c r="I19" i="4" l="1"/>
  <c r="I20" i="4" s="1"/>
  <c r="I24" i="4" s="1"/>
  <c r="E19" i="4"/>
  <c r="E20" i="4" s="1"/>
  <c r="E24" i="4" s="1"/>
  <c r="E23" i="4"/>
  <c r="G23" i="4"/>
  <c r="I28" i="4"/>
  <c r="I23" i="4"/>
  <c r="I25" i="4" s="1"/>
  <c r="D97" i="4" s="1"/>
  <c r="C19" i="4"/>
  <c r="C20" i="4" s="1"/>
  <c r="C24" i="4" s="1"/>
  <c r="C23" i="4"/>
  <c r="G19" i="4"/>
  <c r="G20" i="4" s="1"/>
  <c r="G24" i="4" s="1"/>
  <c r="E25" i="4" l="1"/>
  <c r="D95" i="4" s="1"/>
  <c r="C25" i="4"/>
  <c r="D94" i="4" s="1"/>
  <c r="E28" i="4"/>
  <c r="E42" i="4" s="1"/>
  <c r="C28" i="4"/>
  <c r="G25" i="4"/>
  <c r="D96" i="4" s="1"/>
  <c r="I42" i="4"/>
  <c r="I34" i="4"/>
  <c r="I31" i="4"/>
  <c r="I44" i="4"/>
  <c r="I41" i="4"/>
  <c r="I36" i="4"/>
  <c r="I33" i="4"/>
  <c r="I30" i="4"/>
  <c r="I43" i="4"/>
  <c r="I40" i="4"/>
  <c r="I35" i="4"/>
  <c r="I32" i="4"/>
  <c r="I29" i="4"/>
  <c r="G28" i="4"/>
  <c r="E43" i="4"/>
  <c r="E40" i="4"/>
  <c r="E35" i="4"/>
  <c r="E32" i="4"/>
  <c r="E29" i="4"/>
  <c r="E31" i="4"/>
  <c r="E44" i="4"/>
  <c r="E41" i="4"/>
  <c r="E36" i="4"/>
  <c r="E33" i="4"/>
  <c r="E30" i="4"/>
  <c r="E34" i="4" l="1"/>
  <c r="G42" i="4"/>
  <c r="G34" i="4"/>
  <c r="G31" i="4"/>
  <c r="G44" i="4"/>
  <c r="G41" i="4"/>
  <c r="G36" i="4"/>
  <c r="G33" i="4"/>
  <c r="G30" i="4"/>
  <c r="G43" i="4"/>
  <c r="G40" i="4"/>
  <c r="G35" i="4"/>
  <c r="G32" i="4"/>
  <c r="G29" i="4"/>
  <c r="E46" i="4"/>
  <c r="E45" i="4"/>
  <c r="E47" i="4" s="1"/>
  <c r="D105" i="4" s="1"/>
  <c r="I37" i="4"/>
  <c r="D102" i="4" s="1"/>
  <c r="D98" i="4"/>
  <c r="E37" i="4"/>
  <c r="D100" i="4" s="1"/>
  <c r="I45" i="4"/>
  <c r="I47" i="4" s="1"/>
  <c r="D107" i="4" s="1"/>
  <c r="I46" i="4"/>
  <c r="C43" i="4"/>
  <c r="C40" i="4"/>
  <c r="C35" i="4"/>
  <c r="C32" i="4"/>
  <c r="C29" i="4"/>
  <c r="C42" i="4"/>
  <c r="C34" i="4"/>
  <c r="C31" i="4"/>
  <c r="C44" i="4"/>
  <c r="C41" i="4"/>
  <c r="C36" i="4"/>
  <c r="C33" i="4"/>
  <c r="C30" i="4"/>
  <c r="C46" i="4" l="1"/>
  <c r="C45" i="4"/>
  <c r="G45" i="4"/>
  <c r="G47" i="4" s="1"/>
  <c r="D106" i="4" s="1"/>
  <c r="G46" i="4"/>
  <c r="D120" i="4"/>
  <c r="C37" i="4"/>
  <c r="D99" i="4" s="1"/>
  <c r="D122" i="4"/>
  <c r="C47" i="4"/>
  <c r="D104" i="4" s="1"/>
  <c r="G37" i="4"/>
  <c r="D101" i="4" s="1"/>
  <c r="D108" i="4" l="1"/>
  <c r="D103" i="4"/>
  <c r="D119" i="4"/>
  <c r="D121" i="4"/>
  <c r="D124" i="4" l="1"/>
  <c r="H88" i="4" s="1"/>
  <c r="D127" i="4" l="1"/>
  <c r="D126" i="4"/>
  <c r="H91" i="4"/>
  <c r="H95" i="4"/>
  <c r="H90" i="4"/>
  <c r="H93" i="4"/>
  <c r="H94" i="4"/>
  <c r="H92" i="4"/>
  <c r="H96" i="4"/>
  <c r="H85" i="4"/>
  <c r="H89" i="4"/>
  <c r="H84" i="4"/>
  <c r="H86" i="4"/>
  <c r="H87" i="4"/>
  <c r="H97" i="4" l="1"/>
</calcChain>
</file>

<file path=xl/sharedStrings.xml><?xml version="1.0" encoding="utf-8"?>
<sst xmlns="http://schemas.openxmlformats.org/spreadsheetml/2006/main" count="730" uniqueCount="432">
  <si>
    <t>Financial Year</t>
  </si>
  <si>
    <t>Milking Area</t>
  </si>
  <si>
    <t>Livestock Income</t>
  </si>
  <si>
    <t>Other Shed Costs</t>
  </si>
  <si>
    <t>mm</t>
  </si>
  <si>
    <t>megalitres</t>
  </si>
  <si>
    <t>Mar</t>
  </si>
  <si>
    <t>Feed</t>
  </si>
  <si>
    <t>Finance Costs</t>
  </si>
  <si>
    <t>Owned Water</t>
  </si>
  <si>
    <t>Factory Shares</t>
  </si>
  <si>
    <t>Leased Assets</t>
  </si>
  <si>
    <t>Non-Current Assets</t>
  </si>
  <si>
    <t>Select Fat / Protein kg or %</t>
  </si>
  <si>
    <t>Average</t>
  </si>
  <si>
    <t>ME / kg DM</t>
  </si>
  <si>
    <t>Quantity Applied - Milking Area</t>
  </si>
  <si>
    <t>Fertiliser 2</t>
  </si>
  <si>
    <t>Fat</t>
  </si>
  <si>
    <t>Concentrates</t>
  </si>
  <si>
    <t>Volume - Litres</t>
  </si>
  <si>
    <t>Total Cash Overheads</t>
  </si>
  <si>
    <t>Quantity Sold or Lost</t>
  </si>
  <si>
    <t>Nitrogen</t>
  </si>
  <si>
    <t>Irrigated Milking Area</t>
  </si>
  <si>
    <r>
      <t xml:space="preserve">Average Age </t>
    </r>
    <r>
      <rPr>
        <vertAlign val="superscript"/>
        <sz val="11"/>
        <color theme="1"/>
        <rFont val="Calibri"/>
        <family val="2"/>
        <scheme val="minor"/>
      </rPr>
      <t>[1]</t>
    </r>
  </si>
  <si>
    <r>
      <t xml:space="preserve">Average Liveweight </t>
    </r>
    <r>
      <rPr>
        <vertAlign val="superscript"/>
        <sz val="11"/>
        <color theme="1"/>
        <rFont val="Calibri"/>
        <family val="2"/>
        <scheme val="minor"/>
      </rPr>
      <t>[1]</t>
    </r>
  </si>
  <si>
    <t>Dataset Notes</t>
  </si>
  <si>
    <t>DataSetId</t>
  </si>
  <si>
    <t>Feed Embedded</t>
  </si>
  <si>
    <t>Total Livestock</t>
  </si>
  <si>
    <t>SS Calc</t>
  </si>
  <si>
    <t>Total N in urine and faeces</t>
  </si>
  <si>
    <t>Indirect total t CO2 / yr</t>
  </si>
  <si>
    <t>Balance for livestock owned</t>
  </si>
  <si>
    <t>Irrigated Support Area</t>
  </si>
  <si>
    <t>Fodder Purchase</t>
  </si>
  <si>
    <t>Lease Cost</t>
  </si>
  <si>
    <t>Capital Purchases</t>
  </si>
  <si>
    <t>Oct</t>
  </si>
  <si>
    <t>Labour &amp; Management</t>
  </si>
  <si>
    <t>Time on Agistment</t>
  </si>
  <si>
    <t>Closing Stock</t>
  </si>
  <si>
    <t>Feed 1</t>
  </si>
  <si>
    <t>Select Dry Matter Basis</t>
  </si>
  <si>
    <t>Fertiliser 6</t>
  </si>
  <si>
    <t>Year 1 Heifers</t>
  </si>
  <si>
    <t>ExpenseHerdTotal</t>
  </si>
  <si>
    <t>Support Area</t>
  </si>
  <si>
    <t>Total Available Area</t>
  </si>
  <si>
    <t>Total Labour Units</t>
  </si>
  <si>
    <t>Annual Milk Production</t>
  </si>
  <si>
    <t>FTE</t>
  </si>
  <si>
    <t>Editable DairyBase input data</t>
  </si>
  <si>
    <t>Average Age</t>
  </si>
  <si>
    <t>Milksolids</t>
  </si>
  <si>
    <t>Rising 2 Year Heifers</t>
  </si>
  <si>
    <t>Fuel</t>
  </si>
  <si>
    <t>Waste Management</t>
  </si>
  <si>
    <t>N in urine excreted</t>
  </si>
  <si>
    <t>MMS Solid Storage</t>
  </si>
  <si>
    <t>Animal Waste from atmos</t>
  </si>
  <si>
    <t>Animal Waste from leaching</t>
  </si>
  <si>
    <t>Mcf Others</t>
  </si>
  <si>
    <t>Mcf Factors</t>
  </si>
  <si>
    <t>Water Purchase</t>
  </si>
  <si>
    <t>Average number is used for pasture harvest calculations. This needs to include both owned and leased stock</t>
  </si>
  <si>
    <t>DA0001</t>
  </si>
  <si>
    <t>Owner / Sharefarmer Labour (Unpaid)</t>
  </si>
  <si>
    <t>Depreciation</t>
  </si>
  <si>
    <t>AI &amp; Herd Test</t>
  </si>
  <si>
    <t>Other Herd Costs</t>
  </si>
  <si>
    <t>ha</t>
  </si>
  <si>
    <t>Unspecified</t>
  </si>
  <si>
    <t>t DM</t>
  </si>
  <si>
    <t>Breed Type</t>
  </si>
  <si>
    <t>Feed Costs</t>
  </si>
  <si>
    <t>Plant &amp; Equipment</t>
  </si>
  <si>
    <t xml:space="preserve">Total Usable Farm Area </t>
  </si>
  <si>
    <t>Feed 5</t>
  </si>
  <si>
    <t>Feed 9</t>
  </si>
  <si>
    <t>Feed 12</t>
  </si>
  <si>
    <t>Year 2 Heifers</t>
  </si>
  <si>
    <t>Number of Milkers</t>
  </si>
  <si>
    <t>Select Lists</t>
  </si>
  <si>
    <t>% of weight</t>
  </si>
  <si>
    <r>
      <t xml:space="preserve">Potassium % </t>
    </r>
    <r>
      <rPr>
        <vertAlign val="superscript"/>
        <sz val="11"/>
        <color theme="1"/>
        <rFont val="Calibri"/>
        <family val="2"/>
        <scheme val="minor"/>
      </rPr>
      <t>[1]</t>
    </r>
  </si>
  <si>
    <t>Feed 30</t>
  </si>
  <si>
    <t>Datasource</t>
  </si>
  <si>
    <t>Sulphur</t>
  </si>
  <si>
    <t xml:space="preserve">Electricity </t>
  </si>
  <si>
    <t>Enteric fermentation</t>
  </si>
  <si>
    <t>Daily Yield</t>
  </si>
  <si>
    <t>N</t>
  </si>
  <si>
    <t>Nitrogen retained by the body</t>
  </si>
  <si>
    <t>Manure NO2 on pasture</t>
  </si>
  <si>
    <t>MMS Drain</t>
  </si>
  <si>
    <t>Total Bulls</t>
  </si>
  <si>
    <t>Region</t>
  </si>
  <si>
    <t>Version 4.1 16 June 2021</t>
  </si>
  <si>
    <t>As Is</t>
  </si>
  <si>
    <t>Grass Silage</t>
  </si>
  <si>
    <t>Jul</t>
  </si>
  <si>
    <t>Nov</t>
  </si>
  <si>
    <t>e.g. SW0028</t>
  </si>
  <si>
    <t>Assets</t>
  </si>
  <si>
    <t>Finance</t>
  </si>
  <si>
    <t>Quantity Purchased</t>
  </si>
  <si>
    <t>Fed on Milking Area</t>
  </si>
  <si>
    <t>$ / Tonne</t>
  </si>
  <si>
    <t>Stock Number - Average</t>
  </si>
  <si>
    <t>IncomeNonFarmTotal</t>
  </si>
  <si>
    <t>Fat % w/v</t>
  </si>
  <si>
    <t>Selectable list items that match the DairyBase Lists</t>
  </si>
  <si>
    <r>
      <t xml:space="preserve">Dry Matter % </t>
    </r>
    <r>
      <rPr>
        <vertAlign val="superscript"/>
        <sz val="11"/>
        <color theme="1"/>
        <rFont val="Calibri"/>
        <family val="2"/>
        <scheme val="minor"/>
      </rPr>
      <t>[1]</t>
    </r>
  </si>
  <si>
    <t>Calculated values. Do not enter data in these cells</t>
  </si>
  <si>
    <t>Default Livestock Data</t>
  </si>
  <si>
    <r>
      <t xml:space="preserve">Nitrogen % </t>
    </r>
    <r>
      <rPr>
        <vertAlign val="superscript"/>
        <sz val="11"/>
        <color theme="1"/>
        <rFont val="Calibri"/>
        <family val="2"/>
        <scheme val="minor"/>
      </rPr>
      <t>[1]</t>
    </r>
  </si>
  <si>
    <t>Feed 16</t>
  </si>
  <si>
    <t>Feed 23</t>
  </si>
  <si>
    <t>Feed 27</t>
  </si>
  <si>
    <t>Fertiliser 13</t>
  </si>
  <si>
    <t>Select (+) to view all feed &amp; Fertiliser entries</t>
  </si>
  <si>
    <t>Other</t>
  </si>
  <si>
    <t>Homegrown</t>
  </si>
  <si>
    <t>kg CO2e / litre</t>
  </si>
  <si>
    <t>Gippsland</t>
  </si>
  <si>
    <t>Carbon Sequestration in Trees</t>
  </si>
  <si>
    <t>MN Soil Lagoon</t>
  </si>
  <si>
    <t>MN Soil Sump &amp; Dispersal</t>
  </si>
  <si>
    <t>MN Soil Drain</t>
  </si>
  <si>
    <t>MMS Sump &amp; Dispersal</t>
  </si>
  <si>
    <t>Calculations based on data in spreadsheet</t>
  </si>
  <si>
    <t>Closing Volume</t>
  </si>
  <si>
    <t>Opening Volume</t>
  </si>
  <si>
    <t>$ / megalitre</t>
  </si>
  <si>
    <t>Moderate - High bail</t>
  </si>
  <si>
    <t>Pasture &amp; Cropping</t>
  </si>
  <si>
    <t>Variable Costs</t>
  </si>
  <si>
    <t>Cash Overhead Costs</t>
  </si>
  <si>
    <t>Distance Walked by Milkers</t>
  </si>
  <si>
    <t>Fed on Support Area</t>
  </si>
  <si>
    <t>Feed Energy</t>
  </si>
  <si>
    <t>Total Cows</t>
  </si>
  <si>
    <t>Editor Functionality</t>
  </si>
  <si>
    <t>Default Fertiliser Data</t>
  </si>
  <si>
    <r>
      <t xml:space="preserve">Purchase Price </t>
    </r>
    <r>
      <rPr>
        <vertAlign val="superscript"/>
        <sz val="11"/>
        <color theme="1"/>
        <rFont val="Calibri"/>
        <family val="2"/>
        <scheme val="minor"/>
      </rPr>
      <t>[1]</t>
    </r>
  </si>
  <si>
    <r>
      <t>On import of a Dataset set this to TRUE with caution! 
A setting of TRUE with a valid DataSetId may overwrite an existing Dataset.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
The import will fail if the Dataset doesn't exist or you don't have Edit Authority.</t>
    </r>
  </si>
  <si>
    <t>Selection</t>
  </si>
  <si>
    <t>Fertiliser Embedded</t>
  </si>
  <si>
    <t>Enteric Methane</t>
  </si>
  <si>
    <t>Nitrogen in faeces excreted</t>
  </si>
  <si>
    <t>N in urine</t>
  </si>
  <si>
    <t>N20 from urine on pasture</t>
  </si>
  <si>
    <t>Annual Rainfall</t>
  </si>
  <si>
    <t>Fertiliser</t>
  </si>
  <si>
    <t>Animal Health</t>
  </si>
  <si>
    <t>Livestock Purchases</t>
  </si>
  <si>
    <t>$</t>
  </si>
  <si>
    <t>Overhead Costs</t>
  </si>
  <si>
    <t>Cows Milking</t>
  </si>
  <si>
    <t>Hay</t>
  </si>
  <si>
    <t>Fertiliser 3</t>
  </si>
  <si>
    <t>Fertiliser 7</t>
  </si>
  <si>
    <t>ExpenseShedTotal</t>
  </si>
  <si>
    <t>Total Irrigated Area</t>
  </si>
  <si>
    <t>MJ / kg DM</t>
  </si>
  <si>
    <r>
      <rPr>
        <vertAlign val="superscript"/>
        <sz val="10"/>
        <color theme="1"/>
        <rFont val="Calibri"/>
        <family val="2"/>
        <scheme val="minor"/>
      </rPr>
      <t>[2]</t>
    </r>
    <r>
      <rPr>
        <sz val="10"/>
        <color theme="1"/>
        <rFont val="Calibri"/>
        <family val="2"/>
        <scheme val="minor"/>
      </rPr>
      <t xml:space="preserve"> 1 FTE = 1 full time labour equivalent</t>
    </r>
  </si>
  <si>
    <t>Indirect N fertiliser</t>
  </si>
  <si>
    <t>K</t>
  </si>
  <si>
    <t>Total CO2</t>
  </si>
  <si>
    <t>Manure NO2</t>
  </si>
  <si>
    <t>N2O from faeces on pasture</t>
  </si>
  <si>
    <t>Calculation Checking</t>
  </si>
  <si>
    <r>
      <t xml:space="preserve">Sulphur % </t>
    </r>
    <r>
      <rPr>
        <vertAlign val="superscript"/>
        <sz val="11"/>
        <color theme="1"/>
        <rFont val="Calibri"/>
        <family val="2"/>
        <scheme val="minor"/>
      </rPr>
      <t>[1]</t>
    </r>
  </si>
  <si>
    <t>Net purchase value</t>
  </si>
  <si>
    <t>Other Non-farm Income</t>
  </si>
  <si>
    <t>Calf Rearing</t>
  </si>
  <si>
    <t>Aug</t>
  </si>
  <si>
    <t>Apr</t>
  </si>
  <si>
    <t>Created Scenario</t>
  </si>
  <si>
    <t>19/20</t>
  </si>
  <si>
    <t>Opening Value</t>
  </si>
  <si>
    <t>Farm Management Deposit</t>
  </si>
  <si>
    <t>Total Leased Area</t>
  </si>
  <si>
    <t>weeks</t>
  </si>
  <si>
    <t>Wastage in Feeding %</t>
  </si>
  <si>
    <t>Feed 2</t>
  </si>
  <si>
    <t>Feed 6</t>
  </si>
  <si>
    <t>Feed 13</t>
  </si>
  <si>
    <t>Editable values that are turned off by a switch option</t>
  </si>
  <si>
    <t>Feed Price</t>
  </si>
  <si>
    <t>Feed 20</t>
  </si>
  <si>
    <t>Settings for update of an existing Dataset</t>
  </si>
  <si>
    <t>Is Included</t>
  </si>
  <si>
    <t>Tree plantings</t>
  </si>
  <si>
    <t>Sequestration Rate tCO2 / ha</t>
  </si>
  <si>
    <t>S</t>
  </si>
  <si>
    <t>NO2 on pasture</t>
  </si>
  <si>
    <t>App %</t>
  </si>
  <si>
    <t>t C02 / Yr</t>
  </si>
  <si>
    <t>MNATMOS Solid Storage</t>
  </si>
  <si>
    <t>Average Farm %</t>
  </si>
  <si>
    <t>Jan</t>
  </si>
  <si>
    <t>Feb</t>
  </si>
  <si>
    <t>Income</t>
  </si>
  <si>
    <t>Shed Costs</t>
  </si>
  <si>
    <t>Current Liabilities</t>
  </si>
  <si>
    <t>Total Owned Area</t>
  </si>
  <si>
    <t>Select Monthly or Annual Cow Data</t>
  </si>
  <si>
    <t>Feed Type</t>
  </si>
  <si>
    <t>Not Editable</t>
  </si>
  <si>
    <r>
      <t xml:space="preserve">Wastage in Feeding % </t>
    </r>
    <r>
      <rPr>
        <vertAlign val="superscript"/>
        <sz val="11"/>
        <color theme="1"/>
        <rFont val="Calibri"/>
        <family val="2"/>
        <scheme val="minor"/>
      </rPr>
      <t>[1]</t>
    </r>
  </si>
  <si>
    <r>
      <t xml:space="preserve">Feed Energy </t>
    </r>
    <r>
      <rPr>
        <vertAlign val="superscript"/>
        <sz val="11"/>
        <color theme="1"/>
        <rFont val="Calibri"/>
        <family val="2"/>
        <scheme val="minor"/>
      </rPr>
      <t>[1]</t>
    </r>
  </si>
  <si>
    <t>Phosphorous</t>
  </si>
  <si>
    <r>
      <t xml:space="preserve">Phosphorous % </t>
    </r>
    <r>
      <rPr>
        <vertAlign val="superscript"/>
        <sz val="11"/>
        <color theme="1"/>
        <rFont val="Calibri"/>
        <family val="2"/>
        <scheme val="minor"/>
      </rPr>
      <t>[1]</t>
    </r>
  </si>
  <si>
    <t>Feed 17</t>
  </si>
  <si>
    <t>Feed 24</t>
  </si>
  <si>
    <t>Feed 28</t>
  </si>
  <si>
    <t>Fertiliser 10</t>
  </si>
  <si>
    <t>Fertiliser 14</t>
  </si>
  <si>
    <t>Feed Source</t>
  </si>
  <si>
    <t>Direct N fertiliser</t>
  </si>
  <si>
    <t>kg CO2e / kg MS</t>
  </si>
  <si>
    <t>NO2 Indirect N</t>
  </si>
  <si>
    <t>Manure NO2 storage and spread</t>
  </si>
  <si>
    <t>Indirect N Waste</t>
  </si>
  <si>
    <t>MNATMOS Drain</t>
  </si>
  <si>
    <t>Fodder t CO2 / yr</t>
  </si>
  <si>
    <t>Other Irrigation Costs</t>
  </si>
  <si>
    <t>Sales</t>
  </si>
  <si>
    <t>Deaths</t>
  </si>
  <si>
    <t>Standard</t>
  </si>
  <si>
    <t>Feeding System</t>
  </si>
  <si>
    <t>FBS Default dataset</t>
  </si>
  <si>
    <t>Employed Labour (Paid)</t>
  </si>
  <si>
    <t>Annual Rainfall Average</t>
  </si>
  <si>
    <t>km</t>
  </si>
  <si>
    <t>number</t>
  </si>
  <si>
    <t>Time on Milking Area</t>
  </si>
  <si>
    <t>Other Livestock</t>
  </si>
  <si>
    <t>% of Amount Fed</t>
  </si>
  <si>
    <t>Volume</t>
  </si>
  <si>
    <t>Total Cash Income</t>
  </si>
  <si>
    <t>Other Cash Outgoings</t>
  </si>
  <si>
    <t>DataSet Count</t>
  </si>
  <si>
    <t>Fodder</t>
  </si>
  <si>
    <t>Leaching &amp; Runoff</t>
  </si>
  <si>
    <t>t CO2 / yr</t>
  </si>
  <si>
    <t>App Calc</t>
  </si>
  <si>
    <t>Spreadsheet %</t>
  </si>
  <si>
    <t>Water Carried Over at Year End</t>
  </si>
  <si>
    <t>Calves born in the year</t>
  </si>
  <si>
    <t>Farm Insurance</t>
  </si>
  <si>
    <t>Privacy Setting</t>
  </si>
  <si>
    <t>Rates</t>
  </si>
  <si>
    <t>Repairs &amp; Maintenance</t>
  </si>
  <si>
    <t>Other Overhead Costs</t>
  </si>
  <si>
    <t>%</t>
  </si>
  <si>
    <t>Single Calving Period</t>
  </si>
  <si>
    <t>Flat</t>
  </si>
  <si>
    <t>None</t>
  </si>
  <si>
    <t>Private Data</t>
  </si>
  <si>
    <t>Sep</t>
  </si>
  <si>
    <t>Herd Costs</t>
  </si>
  <si>
    <t>Liabilities</t>
  </si>
  <si>
    <t>$ / animal</t>
  </si>
  <si>
    <t>Time on Support Area</t>
  </si>
  <si>
    <t>Feed Group</t>
  </si>
  <si>
    <t>Fertiliser Type</t>
  </si>
  <si>
    <t>Fertiliser 4</t>
  </si>
  <si>
    <t>Fertiliser 8</t>
  </si>
  <si>
    <t>Settings for update of industry comparison farms</t>
  </si>
  <si>
    <t>Rising 1 Year Heifers</t>
  </si>
  <si>
    <t>N02 - Fertiliser Direct</t>
  </si>
  <si>
    <t>Emission Factor</t>
  </si>
  <si>
    <t xml:space="preserve">Hay </t>
  </si>
  <si>
    <t>NO2 on manure</t>
  </si>
  <si>
    <t>MNATMOS Sump &amp; Dispersal</t>
  </si>
  <si>
    <t>Difference</t>
  </si>
  <si>
    <t>Current Assets Excluding Feed &amp; Water</t>
  </si>
  <si>
    <t>Milk not sent to factory</t>
  </si>
  <si>
    <t>Description</t>
  </si>
  <si>
    <t>Hay &amp; Silage</t>
  </si>
  <si>
    <t>Fuel &amp; Oil</t>
  </si>
  <si>
    <t>litres</t>
  </si>
  <si>
    <t>Milk Production</t>
  </si>
  <si>
    <t>Land &amp; Buildings</t>
  </si>
  <si>
    <t>Other Farm Assets</t>
  </si>
  <si>
    <t>Current Assets</t>
  </si>
  <si>
    <t>Average Value</t>
  </si>
  <si>
    <t>Average Liveweight</t>
  </si>
  <si>
    <t>Milking Herd</t>
  </si>
  <si>
    <t>Opening Stock</t>
  </si>
  <si>
    <t>Harvested on Milking Area</t>
  </si>
  <si>
    <t>Dry Matter %</t>
  </si>
  <si>
    <t>Feed 3</t>
  </si>
  <si>
    <t>Feed 7</t>
  </si>
  <si>
    <t>Feed 10</t>
  </si>
  <si>
    <t>Total Finance Cost</t>
  </si>
  <si>
    <t>Optional Data Entry</t>
  </si>
  <si>
    <t>Imputed Labour</t>
  </si>
  <si>
    <t>Feed 21</t>
  </si>
  <si>
    <t>Counters used for bulk dataset upload</t>
  </si>
  <si>
    <t>Indirect Ammonia</t>
  </si>
  <si>
    <t>Rainfall Index</t>
  </si>
  <si>
    <t>P</t>
  </si>
  <si>
    <t>MN Soil Solid Storage</t>
  </si>
  <si>
    <t>Concentrate &amp; Other t CO2 / yr</t>
  </si>
  <si>
    <t>Total t CO2 / yr</t>
  </si>
  <si>
    <t>Opening</t>
  </si>
  <si>
    <t>Motor Vehicle Expenses</t>
  </si>
  <si>
    <t>Other Feed Costs</t>
  </si>
  <si>
    <t>Interest Cost</t>
  </si>
  <si>
    <t>Annual</t>
  </si>
  <si>
    <t>Dec</t>
  </si>
  <si>
    <t>Jun</t>
  </si>
  <si>
    <t>Paid Labour</t>
  </si>
  <si>
    <t>months</t>
  </si>
  <si>
    <t>Harvested on Support Area</t>
  </si>
  <si>
    <t>Feed 14</t>
  </si>
  <si>
    <t>Tonnes</t>
  </si>
  <si>
    <t>Unusable Area</t>
  </si>
  <si>
    <t>Total Non-Irrigated Area</t>
  </si>
  <si>
    <t>Protein</t>
  </si>
  <si>
    <t>Protein % w/v</t>
  </si>
  <si>
    <t>Total - Year</t>
  </si>
  <si>
    <t>Calculated Values</t>
  </si>
  <si>
    <t>Data Ends</t>
  </si>
  <si>
    <t>Optional data. DairyBase will use defaults if no data is entered</t>
  </si>
  <si>
    <r>
      <rPr>
        <b/>
        <vertAlign val="superscript"/>
        <sz val="11"/>
        <color theme="1"/>
        <rFont val="Calibri"/>
        <family val="2"/>
        <scheme val="minor"/>
      </rPr>
      <t>[1]</t>
    </r>
    <r>
      <rPr>
        <b/>
        <sz val="11"/>
        <color theme="1"/>
        <rFont val="Calibri"/>
        <family val="2"/>
        <scheme val="minor"/>
      </rPr>
      <t xml:space="preserve"> The DairyBase model will use the default values in this table if no data is provided by the user</t>
    </r>
  </si>
  <si>
    <t>Feed 18</t>
  </si>
  <si>
    <t>Feed 25</t>
  </si>
  <si>
    <t>Feed 29</t>
  </si>
  <si>
    <t>Fertiliser 11</t>
  </si>
  <si>
    <t>Fertiliser 15</t>
  </si>
  <si>
    <t>Electricity</t>
  </si>
  <si>
    <t>Nitrogen Intake</t>
  </si>
  <si>
    <t>MNATMOS Lagoon</t>
  </si>
  <si>
    <t>Purchases</t>
  </si>
  <si>
    <t>Actual Closing</t>
  </si>
  <si>
    <t>Calculated Closing</t>
  </si>
  <si>
    <t>Import File Type</t>
  </si>
  <si>
    <t>Name</t>
  </si>
  <si>
    <t>DairyBase Farm Id</t>
  </si>
  <si>
    <t>Irrigation Water</t>
  </si>
  <si>
    <t>Shed Power</t>
  </si>
  <si>
    <t>Other Feed Purchase</t>
  </si>
  <si>
    <t>Bulls</t>
  </si>
  <si>
    <t>Fertiliser 1</t>
  </si>
  <si>
    <t>Protein - kg</t>
  </si>
  <si>
    <t>DairyBase Data Input &amp; Output Form</t>
  </si>
  <si>
    <t>Farm Dataset Details</t>
  </si>
  <si>
    <t>Is Existing</t>
  </si>
  <si>
    <t>For Comparison data only - 3 = DFMP ; 4 = QDAS</t>
  </si>
  <si>
    <t>t C02 / yr</t>
  </si>
  <si>
    <t>Factor L</t>
  </si>
  <si>
    <t>Net Sales Value</t>
  </si>
  <si>
    <t>Water Sales</t>
  </si>
  <si>
    <t>$ Value</t>
  </si>
  <si>
    <t>Calving Pattern Type</t>
  </si>
  <si>
    <t>May</t>
  </si>
  <si>
    <t>Closing Value</t>
  </si>
  <si>
    <t>Long Term Loans</t>
  </si>
  <si>
    <t>Select Monthly or Annual Milk Data</t>
  </si>
  <si>
    <t>Cows Dry</t>
  </si>
  <si>
    <t>Livestock Group</t>
  </si>
  <si>
    <t>Quantity Applied</t>
  </si>
  <si>
    <t>Fertiliser 5</t>
  </si>
  <si>
    <t>Total Feed Cost</t>
  </si>
  <si>
    <t>Potassium</t>
  </si>
  <si>
    <t>Default Feed Data</t>
  </si>
  <si>
    <t>Fertiliser 9</t>
  </si>
  <si>
    <t>Purchased</t>
  </si>
  <si>
    <t>Diesel &amp; Unleaded Fuel</t>
  </si>
  <si>
    <t>Y1 Heifers</t>
  </si>
  <si>
    <t>MMS Lagoon</t>
  </si>
  <si>
    <t>Direct N Fertiliser t CO2 / yr</t>
  </si>
  <si>
    <t>Mcf Milkers</t>
  </si>
  <si>
    <t>Average Farm</t>
  </si>
  <si>
    <t>Other Farm Income</t>
  </si>
  <si>
    <t>Dairy Supplies</t>
  </si>
  <si>
    <t>Concentrates Purchase</t>
  </si>
  <si>
    <t>Principal Repayments</t>
  </si>
  <si>
    <t>Equipment Loans</t>
  </si>
  <si>
    <t>Cows Calving</t>
  </si>
  <si>
    <t>Concentrate</t>
  </si>
  <si>
    <t>Silage</t>
  </si>
  <si>
    <t>Feed 4</t>
  </si>
  <si>
    <t>Feed 8</t>
  </si>
  <si>
    <t>Feed 11</t>
  </si>
  <si>
    <t>Editable Values</t>
  </si>
  <si>
    <t>Feed 22</t>
  </si>
  <si>
    <t>Feed Intake</t>
  </si>
  <si>
    <t>Volatile solids</t>
  </si>
  <si>
    <t>Y2 Heifers</t>
  </si>
  <si>
    <t>Manure Methane</t>
  </si>
  <si>
    <t>Nitrogen in faeces</t>
  </si>
  <si>
    <t>Total Milking Herd</t>
  </si>
  <si>
    <t>Total Y1 Heifers</t>
  </si>
  <si>
    <t>Terrain Type</t>
  </si>
  <si>
    <t>Milk Income</t>
  </si>
  <si>
    <t>Feed Sales</t>
  </si>
  <si>
    <t>Agistment Cost</t>
  </si>
  <si>
    <t>Owner Drawings</t>
  </si>
  <si>
    <t>kg</t>
  </si>
  <si>
    <t>Lime</t>
  </si>
  <si>
    <t>Land Resource</t>
  </si>
  <si>
    <t>Livestock</t>
  </si>
  <si>
    <t>Water Supply</t>
  </si>
  <si>
    <t>Monthly Milk Production</t>
  </si>
  <si>
    <t>% of As Is Weight</t>
  </si>
  <si>
    <t>% w/v</t>
  </si>
  <si>
    <t>Monthly Cow Numbers</t>
  </si>
  <si>
    <t>Fat - kg</t>
  </si>
  <si>
    <r>
      <t xml:space="preserve">FTE </t>
    </r>
    <r>
      <rPr>
        <vertAlign val="superscript"/>
        <sz val="11"/>
        <color theme="1"/>
        <rFont val="Calibri"/>
        <family val="2"/>
        <scheme val="minor"/>
      </rPr>
      <t>[2]</t>
    </r>
  </si>
  <si>
    <r>
      <t xml:space="preserve">Average Value </t>
    </r>
    <r>
      <rPr>
        <vertAlign val="superscript"/>
        <sz val="11"/>
        <color theme="1"/>
        <rFont val="Calibri"/>
        <family val="2"/>
        <scheme val="minor"/>
      </rPr>
      <t>[1]</t>
    </r>
  </si>
  <si>
    <t>Feed 15</t>
  </si>
  <si>
    <t>Feed 19</t>
  </si>
  <si>
    <t>Feed 26</t>
  </si>
  <si>
    <t>Fertiliser 12</t>
  </si>
  <si>
    <t>Fertiliser 16</t>
  </si>
  <si>
    <t>Dataset Type</t>
  </si>
  <si>
    <t>Total Nitrogen</t>
  </si>
  <si>
    <t>MN Solid Storage Leached</t>
  </si>
  <si>
    <t>Total Y2 Heifers</t>
  </si>
  <si>
    <t>Days in Lactation</t>
  </si>
  <si>
    <t>Natural Increase</t>
  </si>
  <si>
    <t>Non-Cash Costs</t>
  </si>
  <si>
    <t>Feed Inventory Change</t>
  </si>
  <si>
    <t>Water Inventory Change</t>
  </si>
  <si>
    <t>Livestock Inventory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</si>
</sst>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.0%"/>
    <numFmt numFmtId="165" formatCode="#,##0.0;[Red]\(#,##0.0\)"/>
    <numFmt numFmtId="166" formatCode="#,##0;[Red]\(#,##0\)"/>
    <numFmt numFmtId="167" formatCode="0.0"/>
    <numFmt numFmtId="168" formatCode="#,##0.00;[Red]\(#,##0.00\)"/>
    <numFmt numFmtId="169" formatCode="#,##0.000;[Red]\(#,##0.000\)"/>
    <numFmt numFmtId="170" formatCode="#,##0.0000;[Red]\(#,##0.0000\)"/>
    <numFmt numFmtId="171" formatCode="#,##0.00000;[Red]\(#,##0.00000\)"/>
    <numFmt numFmtId="172" formatCode="#,##0.000000;[Red]\(#,##0.000000\)"/>
    <numFmt numFmtId="173" formatCode="#,##0.0000000;[Red]\(#,##0.0000000\)"/>
    <numFmt numFmtId="174" formatCode="0.0000"/>
    <numFmt numFmtId="175" formatCode="#,##0.00000000;[Red]\(#,##0.00000000\)"/>
    <numFmt numFmtId="176" formatCode="0_ ;[Red]\-0\ "/>
    <numFmt numFmtId="177" formatCode="0.0_ ;[Red]\-0.0\ "/>
    <numFmt numFmtId="178" formatCode="#,##0_ ;[Red]\-#,##0\ "/>
  </numFmts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name val="Times New Roman"/>
      <family val="1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67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rgb="FFFFE69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8" tint="-0.24979400006103702"/>
      </left>
      <right style="thin">
        <color theme="8" tint="-0.24979400006103702"/>
      </right>
      <top style="thin">
        <color theme="8" tint="-0.24979400006103702"/>
      </top>
      <bottom style="thin">
        <color theme="8" tint="-0.24979400006103702"/>
      </bottom>
      <diagonal/>
    </border>
    <border>
      <left style="thin">
        <color theme="8" tint="-0.24985503707998902"/>
      </left>
      <right style="thin">
        <color theme="8" tint="-0.24985503707998902"/>
      </right>
      <top style="thin">
        <color theme="8" tint="-0.24985503707998902"/>
      </top>
      <bottom style="thin">
        <color theme="8" tint="-0.2498550370799890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8" tint="-0.24982451857051302"/>
      </left>
      <right style="thin">
        <color theme="8" tint="-0.24982451857051302"/>
      </right>
      <top style="thin">
        <color theme="8" tint="-0.24982451857051302"/>
      </top>
      <bottom style="thin">
        <color theme="8" tint="-0.2498245185705130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8" tint="-0.24985503707998902"/>
      </left>
      <right style="thin">
        <color indexed="64"/>
      </right>
      <top style="thin">
        <color theme="8" tint="-0.24985503707998902"/>
      </top>
      <bottom style="thin">
        <color theme="8" tint="-0.24985503707998902"/>
      </bottom>
      <diagonal/>
    </border>
    <border>
      <left style="thin">
        <color theme="8" tint="-0.24976348155156103"/>
      </left>
      <right style="thin">
        <color theme="8" tint="-0.24976348155156103"/>
      </right>
      <top style="thin">
        <color theme="8" tint="-0.24976348155156103"/>
      </top>
      <bottom style="thin">
        <color theme="8" tint="-0.2497634815515610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8" tint="-0.24988555558946501"/>
      </left>
      <right style="thin">
        <color theme="8" tint="-0.24988555558946501"/>
      </right>
      <top style="thin">
        <color theme="8" tint="-0.24988555558946501"/>
      </top>
      <bottom style="thin">
        <color theme="8" tint="-0.24988555558946501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2" borderId="1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3" borderId="1" xfId="0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0" borderId="0" xfId="0" applyFont="1"/>
    <xf numFmtId="0" fontId="0" fillId="6" borderId="3" xfId="0" applyFill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center" vertical="center"/>
    </xf>
    <xf numFmtId="0" fontId="0" fillId="7" borderId="0" xfId="0" applyFill="1" applyAlignment="1">
      <alignment vertical="center"/>
    </xf>
    <xf numFmtId="164" fontId="0" fillId="8" borderId="3" xfId="1" applyNumberFormat="1" applyFont="1" applyFill="1" applyBorder="1" applyAlignment="1" applyProtection="1">
      <alignment horizontal="right" vertical="center" indent="6"/>
      <protection locked="0"/>
    </xf>
    <xf numFmtId="0" fontId="3" fillId="0" borderId="0" xfId="0" applyFont="1" applyFill="1" applyAlignment="1">
      <alignment horizontal="left" indent="1"/>
    </xf>
    <xf numFmtId="0" fontId="2" fillId="0" borderId="0" xfId="0" applyFont="1" applyFill="1"/>
    <xf numFmtId="0" fontId="4" fillId="0" borderId="0" xfId="0" applyFont="1" applyFill="1"/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/>
    </xf>
    <xf numFmtId="166" fontId="0" fillId="0" borderId="0" xfId="0" applyNumberFormat="1" applyAlignment="1">
      <alignment horizontal="right" vertical="center" indent="6"/>
    </xf>
    <xf numFmtId="167" fontId="0" fillId="8" borderId="3" xfId="1" applyNumberFormat="1" applyFont="1" applyFill="1" applyBorder="1" applyAlignment="1" applyProtection="1">
      <alignment horizontal="right" vertical="center" indent="6"/>
      <protection locked="0"/>
    </xf>
    <xf numFmtId="165" fontId="0" fillId="5" borderId="4" xfId="1" applyNumberFormat="1" applyFont="1" applyFill="1" applyBorder="1" applyAlignment="1">
      <alignment horizontal="right" vertical="center" indent="6"/>
    </xf>
    <xf numFmtId="167" fontId="0" fillId="10" borderId="3" xfId="0" applyNumberFormat="1" applyFill="1" applyBorder="1" applyAlignment="1" applyProtection="1">
      <alignment horizontal="right" vertical="center" indent="6"/>
      <protection locked="0"/>
    </xf>
    <xf numFmtId="164" fontId="0" fillId="5" borderId="4" xfId="1" applyNumberFormat="1" applyFont="1" applyFill="1" applyBorder="1" applyAlignment="1">
      <alignment horizontal="right" vertical="center" indent="5"/>
    </xf>
    <xf numFmtId="167" fontId="0" fillId="5" borderId="5" xfId="0" applyNumberFormat="1" applyFill="1" applyBorder="1" applyAlignment="1">
      <alignment horizontal="right" vertical="center" indent="6"/>
    </xf>
    <xf numFmtId="0" fontId="0" fillId="0" borderId="0" xfId="0" applyFill="1" applyAlignment="1"/>
    <xf numFmtId="166" fontId="0" fillId="10" borderId="3" xfId="0" applyNumberFormat="1" applyFill="1" applyBorder="1" applyAlignment="1" applyProtection="1">
      <alignment horizontal="right" vertical="center" indent="6"/>
      <protection locked="0"/>
    </xf>
    <xf numFmtId="0" fontId="4" fillId="0" borderId="0" xfId="0" applyFont="1"/>
    <xf numFmtId="0" fontId="6" fillId="2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7" fillId="0" borderId="0" xfId="0" applyFont="1" applyFill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7" fillId="0" borderId="0" xfId="0" applyFont="1" applyFill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6" fillId="2" borderId="6" xfId="0" applyFont="1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5" borderId="4" xfId="1" applyNumberFormat="1" applyFont="1" applyFill="1" applyBorder="1" applyAlignment="1">
      <alignment horizontal="center" vertical="center"/>
    </xf>
    <xf numFmtId="166" fontId="0" fillId="10" borderId="3" xfId="0" applyNumberFormat="1" applyFill="1" applyBorder="1" applyAlignment="1" applyProtection="1">
      <alignment horizontal="right" vertical="center" indent="3"/>
      <protection locked="0"/>
    </xf>
    <xf numFmtId="167" fontId="0" fillId="10" borderId="3" xfId="0" applyNumberFormat="1" applyFill="1" applyBorder="1" applyAlignment="1" applyProtection="1">
      <alignment horizontal="right" vertical="center" indent="7"/>
      <protection locked="0"/>
    </xf>
    <xf numFmtId="0" fontId="1" fillId="4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165" fontId="2" fillId="0" borderId="0" xfId="0" applyNumberFormat="1" applyFont="1" applyFill="1" applyAlignment="1">
      <alignment horizontal="right" vertical="center"/>
    </xf>
    <xf numFmtId="0" fontId="5" fillId="0" borderId="0" xfId="0" applyFont="1" applyFill="1"/>
    <xf numFmtId="165" fontId="2" fillId="0" borderId="8" xfId="0" applyNumberFormat="1" applyFont="1" applyFill="1" applyBorder="1" applyAlignment="1">
      <alignment horizontal="right" vertical="center"/>
    </xf>
    <xf numFmtId="165" fontId="3" fillId="5" borderId="0" xfId="0" applyNumberFormat="1" applyFont="1" applyFill="1" applyAlignment="1">
      <alignment horizontal="center"/>
    </xf>
    <xf numFmtId="171" fontId="0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vertical="center"/>
    </xf>
    <xf numFmtId="0" fontId="0" fillId="5" borderId="0" xfId="0" applyFill="1"/>
    <xf numFmtId="165" fontId="2" fillId="0" borderId="0" xfId="0" applyNumberFormat="1" applyFont="1" applyFill="1"/>
    <xf numFmtId="0" fontId="1" fillId="7" borderId="0" xfId="0" applyFont="1" applyFill="1" applyAlignment="1">
      <alignment vertical="center"/>
    </xf>
    <xf numFmtId="0" fontId="3" fillId="5" borderId="0" xfId="0" applyFont="1" applyFill="1" applyAlignment="1">
      <alignment horizontal="left" indent="1"/>
    </xf>
    <xf numFmtId="165" fontId="2" fillId="0" borderId="8" xfId="0" applyNumberFormat="1" applyFont="1" applyFill="1" applyBorder="1"/>
    <xf numFmtId="0" fontId="0" fillId="0" borderId="0" xfId="0" applyProtection="1">
      <protection locked="0"/>
    </xf>
    <xf numFmtId="172" fontId="0" fillId="0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166" fontId="0" fillId="8" borderId="3" xfId="0" applyNumberFormat="1" applyFill="1" applyBorder="1" applyAlignment="1" applyProtection="1">
      <alignment horizontal="right" vertical="center" indent="3"/>
      <protection locked="0"/>
    </xf>
    <xf numFmtId="166" fontId="3" fillId="0" borderId="0" xfId="0" applyNumberFormat="1" applyFont="1" applyFill="1" applyAlignment="1">
      <alignment horizontal="right" indent="8"/>
    </xf>
    <xf numFmtId="0" fontId="0" fillId="0" borderId="0" xfId="0" applyFont="1" applyAlignment="1">
      <alignment horizontal="left" indent="1"/>
    </xf>
    <xf numFmtId="0" fontId="8" fillId="0" borderId="0" xfId="0" applyFont="1" applyFill="1"/>
    <xf numFmtId="0" fontId="0" fillId="0" borderId="0" xfId="0" applyAlignment="1">
      <alignment horizontal="left" vertical="top" indent="1"/>
    </xf>
    <xf numFmtId="165" fontId="3" fillId="0" borderId="0" xfId="0" applyNumberFormat="1" applyFont="1" applyFill="1" applyAlignment="1">
      <alignment horizontal="center"/>
    </xf>
    <xf numFmtId="166" fontId="0" fillId="5" borderId="4" xfId="0" applyNumberFormat="1" applyFill="1" applyBorder="1" applyAlignment="1">
      <alignment horizontal="right" vertical="center" indent="6"/>
    </xf>
    <xf numFmtId="0" fontId="3" fillId="0" borderId="0" xfId="0" applyFont="1" applyAlignment="1">
      <alignment horizontal="left"/>
    </xf>
    <xf numFmtId="166" fontId="0" fillId="0" borderId="0" xfId="0" applyNumberFormat="1" applyAlignment="1">
      <alignment horizontal="right" vertical="center" indent="5"/>
    </xf>
    <xf numFmtId="166" fontId="3" fillId="0" borderId="0" xfId="0" applyNumberFormat="1" applyFont="1" applyAlignment="1">
      <alignment horizontal="right" indent="5"/>
    </xf>
    <xf numFmtId="0" fontId="6" fillId="3" borderId="6" xfId="0" applyFont="1" applyFill="1" applyBorder="1" applyAlignment="1" applyProtection="1">
      <alignment horizontal="left" vertical="center" indent="1"/>
      <protection locked="0"/>
    </xf>
    <xf numFmtId="0" fontId="2" fillId="0" borderId="8" xfId="0" applyFont="1" applyFill="1" applyBorder="1"/>
    <xf numFmtId="0" fontId="0" fillId="0" borderId="0" xfId="0" applyFill="1" applyAlignment="1">
      <alignment vertical="center"/>
    </xf>
    <xf numFmtId="166" fontId="0" fillId="0" borderId="0" xfId="0" applyNumberFormat="1" applyFill="1" applyAlignment="1">
      <alignment horizontal="right" indent="6"/>
    </xf>
    <xf numFmtId="0" fontId="0" fillId="3" borderId="7" xfId="0" applyFill="1" applyBorder="1" applyAlignment="1">
      <alignment vertical="center"/>
    </xf>
    <xf numFmtId="0" fontId="1" fillId="4" borderId="0" xfId="0" applyFont="1" applyFill="1" applyProtection="1">
      <protection locked="0"/>
    </xf>
    <xf numFmtId="176" fontId="0" fillId="5" borderId="11" xfId="0" applyNumberFormat="1" applyFill="1" applyBorder="1" applyAlignment="1" applyProtection="1">
      <alignment horizontal="right" vertical="center" indent="3"/>
    </xf>
    <xf numFmtId="0" fontId="6" fillId="3" borderId="1" xfId="0" applyFont="1" applyFill="1" applyBorder="1" applyAlignment="1">
      <alignment horizontal="left" vertical="center" indent="1"/>
    </xf>
    <xf numFmtId="0" fontId="9" fillId="4" borderId="0" xfId="0" applyFont="1" applyFill="1" applyAlignment="1">
      <alignment vertical="center"/>
    </xf>
    <xf numFmtId="0" fontId="0" fillId="10" borderId="3" xfId="0" applyFill="1" applyBorder="1" applyAlignment="1" applyProtection="1">
      <alignment horizontal="right" vertical="center" indent="8"/>
      <protection locked="0"/>
    </xf>
    <xf numFmtId="1" fontId="0" fillId="5" borderId="12" xfId="0" applyNumberFormat="1" applyFill="1" applyBorder="1" applyAlignment="1">
      <alignment horizontal="right" vertical="center" indent="7"/>
    </xf>
    <xf numFmtId="1" fontId="0" fillId="8" borderId="12" xfId="0" applyNumberFormat="1" applyFill="1" applyBorder="1" applyAlignment="1">
      <alignment horizontal="right" vertical="center" indent="3"/>
    </xf>
    <xf numFmtId="0" fontId="3" fillId="0" borderId="0" xfId="0" applyFont="1"/>
    <xf numFmtId="177" fontId="0" fillId="5" borderId="5" xfId="0" applyNumberFormat="1" applyFill="1" applyBorder="1" applyAlignment="1">
      <alignment horizontal="right" vertical="center" indent="3"/>
    </xf>
    <xf numFmtId="166" fontId="0" fillId="5" borderId="4" xfId="0" applyNumberFormat="1" applyFill="1" applyBorder="1" applyAlignment="1">
      <alignment horizontal="right" vertical="center" indent="5"/>
    </xf>
    <xf numFmtId="165" fontId="0" fillId="10" borderId="3" xfId="0" applyNumberFormat="1" applyFill="1" applyBorder="1" applyAlignment="1" applyProtection="1">
      <alignment horizontal="right" vertical="center" indent="3"/>
      <protection locked="0"/>
    </xf>
    <xf numFmtId="0" fontId="0" fillId="5" borderId="4" xfId="0" applyFill="1" applyBorder="1" applyAlignment="1">
      <alignment horizontal="right" vertical="center" indent="8"/>
    </xf>
    <xf numFmtId="0" fontId="6" fillId="0" borderId="0" xfId="0" applyFont="1" applyFill="1" applyAlignment="1">
      <alignment horizontal="left" indent="1"/>
    </xf>
    <xf numFmtId="0" fontId="11" fillId="1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0" fillId="7" borderId="0" xfId="0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indent="1"/>
      <protection locked="0"/>
    </xf>
    <xf numFmtId="0" fontId="0" fillId="9" borderId="8" xfId="0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0" fillId="9" borderId="1" xfId="0" applyFill="1" applyBorder="1" applyAlignment="1">
      <alignment vertical="center"/>
    </xf>
    <xf numFmtId="0" fontId="0" fillId="0" borderId="0" xfId="0" applyFill="1" applyAlignment="1">
      <alignment horizontal="left" indent="1"/>
    </xf>
    <xf numFmtId="166" fontId="0" fillId="5" borderId="5" xfId="0" applyNumberFormat="1" applyFill="1" applyBorder="1" applyAlignment="1">
      <alignment horizontal="right" vertical="center" indent="6"/>
    </xf>
    <xf numFmtId="166" fontId="0" fillId="8" borderId="3" xfId="0" applyNumberFormat="1" applyFill="1" applyBorder="1" applyAlignment="1" applyProtection="1">
      <alignment horizontal="right" vertical="center" indent="6"/>
      <protection locked="0"/>
    </xf>
    <xf numFmtId="166" fontId="3" fillId="5" borderId="0" xfId="0" applyNumberFormat="1" applyFont="1" applyFill="1" applyAlignment="1">
      <alignment horizontal="right" indent="8"/>
    </xf>
    <xf numFmtId="168" fontId="0" fillId="0" borderId="0" xfId="0" applyNumberFormat="1" applyFill="1" applyAlignment="1">
      <alignment horizontal="right" indent="8"/>
    </xf>
    <xf numFmtId="171" fontId="0" fillId="0" borderId="0" xfId="0" applyNumberFormat="1" applyFont="1" applyFill="1" applyAlignment="1">
      <alignment horizontal="left"/>
    </xf>
    <xf numFmtId="170" fontId="14" fillId="0" borderId="0" xfId="0" quotePrefix="1" applyNumberFormat="1" applyFont="1" applyFill="1" applyAlignment="1" applyProtection="1">
      <alignment horizontal="center"/>
    </xf>
    <xf numFmtId="168" fontId="14" fillId="0" borderId="0" xfId="0" quotePrefix="1" applyNumberFormat="1" applyFont="1" applyFill="1" applyAlignment="1" applyProtection="1">
      <alignment horizontal="center"/>
    </xf>
    <xf numFmtId="166" fontId="3" fillId="0" borderId="0" xfId="0" applyNumberFormat="1" applyFont="1" applyAlignment="1">
      <alignment horizontal="left"/>
    </xf>
    <xf numFmtId="169" fontId="0" fillId="0" borderId="0" xfId="0" applyNumberFormat="1" applyFont="1" applyFill="1" applyAlignment="1">
      <alignment horizontal="center"/>
    </xf>
    <xf numFmtId="174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 indent="5"/>
    </xf>
    <xf numFmtId="165" fontId="3" fillId="5" borderId="0" xfId="0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165" fontId="3" fillId="0" borderId="0" xfId="0" applyNumberFormat="1" applyFont="1" applyFill="1" applyAlignment="1">
      <alignment horizontal="left"/>
    </xf>
    <xf numFmtId="168" fontId="0" fillId="0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70" fontId="0" fillId="0" borderId="0" xfId="0" applyNumberFormat="1" applyFont="1" applyFill="1" applyAlignment="1">
      <alignment horizontal="center"/>
    </xf>
    <xf numFmtId="0" fontId="0" fillId="10" borderId="3" xfId="0" applyFill="1" applyBorder="1" applyAlignment="1" applyProtection="1">
      <alignment horizontal="right" vertical="center" indent="7"/>
      <protection locked="0"/>
    </xf>
    <xf numFmtId="168" fontId="0" fillId="0" borderId="0" xfId="0" applyNumberFormat="1" applyFill="1"/>
    <xf numFmtId="166" fontId="0" fillId="3" borderId="1" xfId="0" applyNumberFormat="1" applyFill="1" applyBorder="1" applyAlignment="1">
      <alignment horizontal="right" vertical="center" indent="5"/>
    </xf>
    <xf numFmtId="0" fontId="0" fillId="0" borderId="0" xfId="0" applyAlignment="1" applyProtection="1">
      <alignment horizontal="left" indent="1"/>
      <protection locked="0"/>
    </xf>
    <xf numFmtId="168" fontId="0" fillId="0" borderId="0" xfId="0" applyNumberFormat="1" applyFont="1" applyFill="1" applyAlignment="1">
      <alignment horizontal="left"/>
    </xf>
    <xf numFmtId="168" fontId="0" fillId="0" borderId="0" xfId="0" applyNumberFormat="1" applyFont="1" applyFill="1" applyAlignment="1">
      <alignment horizontal="right" indent="8"/>
    </xf>
    <xf numFmtId="171" fontId="14" fillId="0" borderId="0" xfId="0" quotePrefix="1" applyNumberFormat="1" applyFont="1" applyFill="1" applyAlignment="1" applyProtection="1">
      <alignment horizontal="center"/>
    </xf>
    <xf numFmtId="166" fontId="0" fillId="5" borderId="5" xfId="0" applyNumberFormat="1" applyFill="1" applyBorder="1" applyAlignment="1" applyProtection="1">
      <alignment horizontal="right" vertical="center" indent="7"/>
    </xf>
    <xf numFmtId="0" fontId="0" fillId="0" borderId="0" xfId="0" applyFont="1" applyFill="1" applyAlignment="1">
      <alignment horizontal="left"/>
    </xf>
    <xf numFmtId="166" fontId="0" fillId="10" borderId="3" xfId="0" applyNumberFormat="1" applyFill="1" applyBorder="1" applyAlignment="1" applyProtection="1">
      <alignment horizontal="right" vertical="center" indent="9"/>
      <protection locked="0"/>
    </xf>
    <xf numFmtId="165" fontId="0" fillId="0" borderId="0" xfId="0" applyNumberFormat="1" applyFill="1"/>
    <xf numFmtId="173" fontId="0" fillId="0" borderId="0" xfId="0" applyNumberFormat="1" applyFont="1" applyFill="1" applyAlignment="1">
      <alignment horizontal="center"/>
    </xf>
    <xf numFmtId="0" fontId="10" fillId="0" borderId="0" xfId="0" applyFont="1" applyFill="1" applyAlignment="1" applyProtection="1">
      <alignment horizontal="left" indent="1"/>
      <protection locked="0"/>
    </xf>
    <xf numFmtId="0" fontId="0" fillId="5" borderId="3" xfId="0" applyFill="1" applyBorder="1" applyAlignment="1">
      <alignment horizontal="left" vertical="center" indent="1"/>
    </xf>
    <xf numFmtId="169" fontId="0" fillId="0" borderId="0" xfId="0" applyNumberFormat="1" applyFill="1" applyAlignment="1">
      <alignment horizontal="right" indent="8"/>
    </xf>
    <xf numFmtId="0" fontId="0" fillId="0" borderId="0" xfId="0" applyAlignment="1"/>
    <xf numFmtId="0" fontId="0" fillId="6" borderId="3" xfId="0" applyFill="1" applyBorder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8" xfId="0" applyFill="1" applyBorder="1" applyAlignment="1">
      <alignment vertical="center"/>
    </xf>
    <xf numFmtId="166" fontId="0" fillId="8" borderId="9" xfId="0" applyNumberFormat="1" applyFill="1" applyBorder="1" applyAlignment="1">
      <alignment horizontal="right" vertical="center" indent="3"/>
    </xf>
    <xf numFmtId="0" fontId="0" fillId="9" borderId="10" xfId="0" applyFill="1" applyBorder="1" applyAlignment="1">
      <alignment vertical="center"/>
    </xf>
    <xf numFmtId="166" fontId="0" fillId="3" borderId="1" xfId="0" applyNumberFormat="1" applyFill="1" applyBorder="1" applyAlignment="1">
      <alignment horizontal="right" vertical="center" indent="6"/>
    </xf>
    <xf numFmtId="166" fontId="0" fillId="11" borderId="3" xfId="0" applyNumberFormat="1" applyFill="1" applyBorder="1" applyAlignment="1" applyProtection="1">
      <alignment horizontal="right" vertical="center" indent="3"/>
      <protection locked="0"/>
    </xf>
    <xf numFmtId="0" fontId="0" fillId="12" borderId="3" xfId="0" applyFill="1" applyBorder="1" applyAlignment="1">
      <alignment horizontal="left" vertical="center" indent="1"/>
    </xf>
    <xf numFmtId="0" fontId="3" fillId="0" borderId="0" xfId="0" applyFont="1" applyFill="1" applyAlignment="1">
      <alignment horizontal="center"/>
    </xf>
    <xf numFmtId="172" fontId="0" fillId="0" borderId="0" xfId="0" applyNumberFormat="1" applyFont="1" applyFill="1" applyAlignment="1">
      <alignment horizontal="left"/>
    </xf>
    <xf numFmtId="0" fontId="0" fillId="9" borderId="13" xfId="0" applyFill="1" applyBorder="1" applyAlignment="1">
      <alignment horizontal="left" vertical="center" indent="1"/>
    </xf>
    <xf numFmtId="0" fontId="0" fillId="10" borderId="14" xfId="0" applyFill="1" applyBorder="1" applyAlignment="1">
      <alignment horizontal="left" vertical="center" indent="1"/>
    </xf>
    <xf numFmtId="164" fontId="2" fillId="0" borderId="0" xfId="0" applyNumberFormat="1" applyFont="1" applyFill="1" applyAlignment="1">
      <alignment horizontal="right" indent="3"/>
    </xf>
    <xf numFmtId="10" fontId="0" fillId="10" borderId="3" xfId="1" applyNumberFormat="1" applyFont="1" applyFill="1" applyBorder="1" applyAlignment="1" applyProtection="1">
      <alignment horizontal="right" vertical="center" indent="5"/>
      <protection locked="0"/>
    </xf>
    <xf numFmtId="0" fontId="6" fillId="2" borderId="6" xfId="0" applyFont="1" applyFill="1" applyBorder="1" applyAlignment="1">
      <alignment horizontal="left" vertical="center" indent="1"/>
    </xf>
    <xf numFmtId="169" fontId="0" fillId="0" borderId="0" xfId="0" applyNumberFormat="1" applyFont="1" applyFill="1" applyAlignment="1">
      <alignment horizontal="left"/>
    </xf>
    <xf numFmtId="0" fontId="0" fillId="8" borderId="3" xfId="0" applyFill="1" applyBorder="1" applyAlignment="1">
      <alignment horizontal="left" vertical="center" indent="1"/>
    </xf>
    <xf numFmtId="166" fontId="3" fillId="0" borderId="0" xfId="0" applyNumberFormat="1" applyFont="1" applyFill="1" applyAlignment="1">
      <alignment horizontal="left"/>
    </xf>
    <xf numFmtId="0" fontId="15" fillId="0" borderId="0" xfId="0" applyFont="1" applyAlignment="1">
      <alignment horizontal="left" vertical="center"/>
    </xf>
    <xf numFmtId="1" fontId="0" fillId="5" borderId="4" xfId="0" applyNumberFormat="1" applyFill="1" applyBorder="1" applyAlignment="1">
      <alignment horizontal="center" vertical="center"/>
    </xf>
    <xf numFmtId="0" fontId="0" fillId="9" borderId="6" xfId="0" applyFill="1" applyBorder="1" applyAlignment="1">
      <alignment horizontal="left" vertical="center" indent="1"/>
    </xf>
    <xf numFmtId="165" fontId="5" fillId="0" borderId="0" xfId="0" applyNumberFormat="1" applyFont="1" applyFill="1"/>
    <xf numFmtId="0" fontId="6" fillId="2" borderId="7" xfId="0" applyFont="1" applyFill="1" applyBorder="1" applyAlignment="1">
      <alignment horizontal="left" vertical="center" indent="1"/>
    </xf>
    <xf numFmtId="164" fontId="2" fillId="0" borderId="0" xfId="1" applyNumberFormat="1" applyFont="1" applyFill="1" applyAlignment="1">
      <alignment horizontal="right" indent="3"/>
    </xf>
    <xf numFmtId="0" fontId="4" fillId="2" borderId="1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7" fillId="0" borderId="0" xfId="0" applyFont="1" applyFill="1"/>
    <xf numFmtId="10" fontId="0" fillId="5" borderId="5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indent="2"/>
    </xf>
    <xf numFmtId="0" fontId="0" fillId="9" borderId="7" xfId="0" applyFill="1" applyBorder="1" applyAlignment="1">
      <alignment vertical="center"/>
    </xf>
    <xf numFmtId="170" fontId="0" fillId="0" borderId="0" xfId="0" applyNumberFormat="1" applyFill="1" applyAlignment="1">
      <alignment horizontal="right" indent="8"/>
    </xf>
    <xf numFmtId="175" fontId="0" fillId="0" borderId="0" xfId="0" applyNumberFormat="1" applyFont="1" applyFill="1" applyAlignment="1">
      <alignment horizontal="left"/>
    </xf>
    <xf numFmtId="0" fontId="0" fillId="8" borderId="2" xfId="0" applyFill="1" applyBorder="1" applyAlignment="1" applyProtection="1">
      <alignment horizontal="right" vertical="center" indent="7"/>
      <protection locked="0"/>
    </xf>
    <xf numFmtId="167" fontId="0" fillId="10" borderId="3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 vertical="center" indent="1"/>
    </xf>
    <xf numFmtId="164" fontId="2" fillId="0" borderId="0" xfId="1" applyNumberFormat="1" applyFont="1" applyFill="1" applyAlignment="1">
      <alignment horizontal="right" vertical="center" indent="3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73" fontId="0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indent="3"/>
    </xf>
    <xf numFmtId="165" fontId="0" fillId="0" borderId="0" xfId="0" applyNumberFormat="1" applyFont="1" applyFill="1"/>
    <xf numFmtId="0" fontId="2" fillId="0" borderId="0" xfId="0" quotePrefix="1" applyFont="1" applyFill="1" applyAlignment="1" applyProtection="1">
      <alignment horizontal="left"/>
    </xf>
    <xf numFmtId="49" fontId="0" fillId="6" borderId="3" xfId="0" applyNumberFormat="1" applyFill="1" applyBorder="1" applyAlignment="1" applyProtection="1">
      <alignment horizontal="left" vertical="center" indent="1"/>
      <protection locked="0"/>
    </xf>
    <xf numFmtId="0" fontId="6" fillId="0" borderId="0" xfId="0" applyFont="1" applyFill="1" applyBorder="1" applyAlignment="1" applyProtection="1">
      <alignment horizontal="left" vertical="center" indent="1"/>
      <protection locked="0"/>
    </xf>
    <xf numFmtId="166" fontId="0" fillId="0" borderId="0" xfId="0" applyNumberFormat="1" applyAlignment="1">
      <alignment horizontal="right" indent="6"/>
    </xf>
    <xf numFmtId="171" fontId="2" fillId="0" borderId="0" xfId="0" quotePrefix="1" applyNumberFormat="1" applyFont="1" applyFill="1" applyAlignment="1" applyProtection="1">
      <alignment horizontal="left"/>
    </xf>
    <xf numFmtId="0" fontId="0" fillId="0" borderId="0" xfId="0" applyFill="1" applyAlignment="1">
      <alignment horizontal="left"/>
    </xf>
    <xf numFmtId="0" fontId="10" fillId="0" borderId="0" xfId="0" applyFont="1" applyAlignment="1">
      <alignment horizontal="left" indent="1"/>
    </xf>
    <xf numFmtId="165" fontId="0" fillId="0" borderId="8" xfId="0" applyNumberFormat="1" applyFont="1" applyFill="1" applyBorder="1"/>
    <xf numFmtId="165" fontId="3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0" fontId="0" fillId="10" borderId="15" xfId="0" applyFill="1" applyBorder="1" applyAlignment="1" applyProtection="1">
      <alignment horizontal="right" vertical="center" indent="7"/>
      <protection locked="0"/>
    </xf>
    <xf numFmtId="170" fontId="2" fillId="0" borderId="0" xfId="0" quotePrefix="1" applyNumberFormat="1" applyFont="1" applyFill="1" applyAlignment="1" applyProtection="1">
      <alignment horizontal="left"/>
    </xf>
    <xf numFmtId="10" fontId="0" fillId="10" borderId="15" xfId="1" applyNumberFormat="1" applyFont="1" applyFill="1" applyBorder="1" applyAlignment="1" applyProtection="1">
      <alignment horizontal="right" vertical="center" indent="6"/>
      <protection locked="0"/>
    </xf>
    <xf numFmtId="176" fontId="0" fillId="11" borderId="3" xfId="0" applyNumberFormat="1" applyFill="1" applyBorder="1" applyAlignment="1" applyProtection="1">
      <alignment horizontal="right" vertical="center" indent="3"/>
      <protection locked="0"/>
    </xf>
    <xf numFmtId="0" fontId="0" fillId="0" borderId="0" xfId="0" applyFill="1" applyAlignment="1" applyProtection="1">
      <alignment horizontal="left" vertical="center" indent="1"/>
      <protection locked="0"/>
    </xf>
    <xf numFmtId="166" fontId="0" fillId="10" borderId="15" xfId="0" applyNumberFormat="1" applyFill="1" applyBorder="1" applyAlignment="1" applyProtection="1">
      <alignment horizontal="right" vertical="center" indent="6"/>
      <protection locked="0"/>
    </xf>
    <xf numFmtId="168" fontId="2" fillId="0" borderId="0" xfId="0" quotePrefix="1" applyNumberFormat="1" applyFont="1" applyFill="1" applyAlignment="1" applyProtection="1">
      <alignment horizontal="left"/>
    </xf>
    <xf numFmtId="166" fontId="3" fillId="5" borderId="0" xfId="0" applyNumberFormat="1" applyFont="1" applyFill="1" applyAlignment="1">
      <alignment horizontal="left"/>
    </xf>
    <xf numFmtId="0" fontId="0" fillId="5" borderId="5" xfId="0" applyFill="1" applyBorder="1" applyAlignment="1" applyProtection="1">
      <alignment horizontal="right" vertical="center" indent="7"/>
    </xf>
    <xf numFmtId="165" fontId="0" fillId="0" borderId="0" xfId="0" applyNumberFormat="1" applyFill="1" applyAlignment="1">
      <alignment horizontal="center"/>
    </xf>
    <xf numFmtId="0" fontId="0" fillId="0" borderId="0" xfId="0" applyAlignment="1" applyProtection="1">
      <alignment horizontal="right" indent="7"/>
    </xf>
    <xf numFmtId="167" fontId="0" fillId="5" borderId="4" xfId="0" applyNumberForma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 indent="1"/>
    </xf>
    <xf numFmtId="0" fontId="18" fillId="7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Alignment="1" applyProtection="1">
      <alignment horizontal="left" vertical="center" indent="1"/>
      <protection locked="0"/>
    </xf>
    <xf numFmtId="164" fontId="0" fillId="0" borderId="0" xfId="1" applyNumberFormat="1" applyFont="1" applyFill="1" applyAlignment="1">
      <alignment horizontal="right" vertical="center"/>
    </xf>
    <xf numFmtId="0" fontId="0" fillId="10" borderId="3" xfId="0" applyFill="1" applyBorder="1" applyAlignment="1" applyProtection="1">
      <alignment horizontal="left" vertical="center" indent="1"/>
      <protection locked="0"/>
    </xf>
    <xf numFmtId="170" fontId="0" fillId="0" borderId="0" xfId="0" applyNumberFormat="1" applyFont="1" applyFill="1" applyAlignment="1">
      <alignment horizontal="left"/>
    </xf>
    <xf numFmtId="10" fontId="0" fillId="10" borderId="3" xfId="1" applyNumberFormat="1" applyFont="1" applyFill="1" applyBorder="1" applyAlignment="1" applyProtection="1">
      <alignment horizontal="right" vertical="center" indent="6"/>
      <protection locked="0"/>
    </xf>
    <xf numFmtId="168" fontId="3" fillId="0" borderId="0" xfId="0" applyNumberFormat="1" applyFont="1" applyFill="1" applyAlignment="1">
      <alignment horizontal="left"/>
    </xf>
    <xf numFmtId="0" fontId="0" fillId="6" borderId="16" xfId="0" applyFill="1" applyBorder="1" applyAlignment="1">
      <alignment horizontal="left" vertical="center" indent="1"/>
    </xf>
    <xf numFmtId="174" fontId="0" fillId="0" borderId="0" xfId="0" applyNumberFormat="1" applyFont="1" applyFill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10" fillId="0" borderId="0" xfId="0" applyFont="1" applyFill="1" applyAlignment="1">
      <alignment horizontal="left" indent="1"/>
    </xf>
    <xf numFmtId="172" fontId="0" fillId="0" borderId="0" xfId="0" quotePrefix="1" applyNumberFormat="1" applyFont="1" applyFill="1" applyAlignment="1">
      <alignment horizontal="left"/>
    </xf>
    <xf numFmtId="0" fontId="21" fillId="0" borderId="0" xfId="0" applyFont="1" applyFill="1" applyBorder="1" applyAlignment="1">
      <alignment vertical="center"/>
    </xf>
    <xf numFmtId="0" fontId="16" fillId="0" borderId="0" xfId="0" applyFont="1" applyAlignment="1" applyProtection="1">
      <alignment horizontal="left" vertical="center" indent="1"/>
      <protection locked="0"/>
    </xf>
    <xf numFmtId="165" fontId="3" fillId="0" borderId="0" xfId="0" applyNumberFormat="1" applyFont="1" applyFill="1"/>
    <xf numFmtId="0" fontId="6" fillId="13" borderId="0" xfId="0" applyFont="1" applyFill="1" applyAlignment="1">
      <alignment horizontal="left" indent="1"/>
    </xf>
    <xf numFmtId="0" fontId="0" fillId="13" borderId="0" xfId="0" applyFill="1" applyAlignment="1">
      <alignment horizontal="left" vertical="center" indent="1"/>
    </xf>
    <xf numFmtId="0" fontId="0" fillId="13" borderId="0" xfId="0" applyFill="1" applyAlignment="1">
      <alignment horizontal="left" indent="1"/>
    </xf>
    <xf numFmtId="178" fontId="0" fillId="10" borderId="3" xfId="1" applyNumberFormat="1" applyFont="1" applyFill="1" applyBorder="1" applyAlignment="1" applyProtection="1">
      <alignment horizontal="right" vertical="center" indent="7"/>
      <protection locked="0"/>
    </xf>
    <xf numFmtId="3" fontId="0" fillId="10" borderId="3" xfId="1" applyNumberFormat="1" applyFont="1" applyFill="1" applyBorder="1" applyAlignment="1" applyProtection="1">
      <alignment horizontal="right" vertical="center" indent="7"/>
      <protection locked="0"/>
    </xf>
    <xf numFmtId="0" fontId="0" fillId="13" borderId="0" xfId="0" applyFill="1" applyAlignment="1" applyProtection="1">
      <alignment horizontal="left" vertical="center" indent="1"/>
      <protection locked="0"/>
    </xf>
    <xf numFmtId="0" fontId="0" fillId="13" borderId="0" xfId="0" applyFill="1" applyAlignment="1">
      <alignment vertical="center"/>
    </xf>
    <xf numFmtId="0" fontId="0" fillId="13" borderId="0" xfId="0" applyFill="1"/>
    <xf numFmtId="0" fontId="0" fillId="10" borderId="6" xfId="0" applyFill="1" applyBorder="1" applyAlignment="1" applyProtection="1">
      <alignment horizontal="left" vertical="center" indent="1"/>
      <protection locked="0"/>
    </xf>
    <xf numFmtId="0" fontId="0" fillId="10" borderId="1" xfId="0" applyFill="1" applyBorder="1" applyAlignment="1" applyProtection="1">
      <alignment horizontal="left" vertical="center" indent="1"/>
      <protection locked="0"/>
    </xf>
    <xf numFmtId="0" fontId="0" fillId="10" borderId="7" xfId="0" applyFill="1" applyBorder="1" applyAlignment="1" applyProtection="1">
      <alignment horizontal="left" vertical="center" indent="1"/>
      <protection locked="0"/>
    </xf>
    <xf numFmtId="0" fontId="0" fillId="10" borderId="6" xfId="0" applyFill="1" applyBorder="1" applyAlignment="1" applyProtection="1">
      <alignment horizontal="left" vertical="top" wrapText="1" indent="1"/>
      <protection locked="0"/>
    </xf>
    <xf numFmtId="0" fontId="0" fillId="10" borderId="1" xfId="0" applyFill="1" applyBorder="1" applyAlignment="1" applyProtection="1">
      <alignment horizontal="left" vertical="top" wrapText="1" indent="1"/>
      <protection locked="0"/>
    </xf>
    <xf numFmtId="0" fontId="0" fillId="10" borderId="7" xfId="0" applyFill="1" applyBorder="1" applyAlignment="1" applyProtection="1">
      <alignment horizontal="left" vertical="top" wrapText="1" indent="1"/>
      <protection locked="0"/>
    </xf>
    <xf numFmtId="0" fontId="4" fillId="0" borderId="0" xfId="0" applyFont="1" applyAlignment="1">
      <alignment vertical="top" wrapText="1"/>
    </xf>
    <xf numFmtId="0" fontId="0" fillId="10" borderId="6" xfId="0" quotePrefix="1" applyFill="1" applyBorder="1" applyAlignment="1" applyProtection="1">
      <alignment horizontal="left" vertical="top" wrapText="1" indent="1"/>
      <protection locked="0"/>
    </xf>
  </cellXfs>
  <cellStyles count="2">
    <cellStyle name="Normal" xfId="0" builtinId="0"/>
    <cellStyle name="Percent" xfId="1" builtinId="5"/>
  </cellStyles>
  <dxfs count="15">
    <dxf>
      <font>
        <color theme="0" tint="-0.1498764000366222"/>
      </font>
      <fill>
        <patternFill>
          <bgColor theme="0" tint="-0.1498764000366222"/>
        </patternFill>
      </fill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color theme="0" tint="-0.24991607409894101"/>
      </font>
      <fill>
        <patternFill>
          <bgColor theme="0" tint="-0.24991607409894101"/>
        </patternFill>
      </fill>
    </dxf>
    <dxf>
      <font>
        <color theme="0" tint="-0.24991607409894101"/>
      </font>
      <fill>
        <patternFill>
          <bgColor theme="0" tint="-0.24991607409894101"/>
        </patternFill>
      </fill>
    </dxf>
    <dxf>
      <font>
        <color theme="0" tint="-0.24991607409894101"/>
      </font>
      <fill>
        <patternFill>
          <bgColor theme="0" tint="-0.24991607409894101"/>
        </patternFill>
      </fill>
    </dxf>
    <dxf>
      <font>
        <color theme="0" tint="-0.24991607409894101"/>
      </font>
      <fill>
        <patternFill>
          <bgColor theme="0" tint="-0.24991607409894101"/>
        </patternFill>
      </fill>
    </dxf>
    <dxf>
      <font>
        <color theme="0" tint="-0.24991607409894101"/>
      </font>
      <fill>
        <patternFill>
          <bgColor theme="0" tint="-0.24991607409894101"/>
        </patternFill>
      </fill>
    </dxf>
    <dxf>
      <font>
        <color theme="0" tint="-0.24991607409894101"/>
      </font>
      <fill>
        <patternFill>
          <bgColor theme="0" tint="-0.24991607409894101"/>
        </patternFill>
      </fill>
    </dxf>
    <dxf>
      <font>
        <color theme="0" tint="-0.24991607409894101"/>
      </font>
      <fill>
        <patternFill>
          <bgColor theme="0" tint="-0.24991607409894101"/>
        </patternFill>
      </fill>
    </dxf>
    <dxf>
      <font>
        <color theme="0" tint="-0.24991607409894101"/>
      </font>
      <fill>
        <patternFill>
          <bgColor theme="0" tint="-0.24991607409894101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0" tint="-0.24988555558946501"/>
        </patternFill>
      </fill>
    </dxf>
    <dxf>
      <fill>
        <patternFill>
          <bgColor theme="0" tint="-0.24988555558946501"/>
        </patternFill>
      </fill>
    </dxf>
    <dxf>
      <fill>
        <patternFill>
          <bgColor theme="0" tint="-0.24988555558946501"/>
        </patternFill>
      </fill>
    </dxf>
    <dxf>
      <font>
        <color theme="0" tint="-0.1498764000366222"/>
      </font>
      <fill>
        <patternFill>
          <bgColor theme="0" tint="-0.149876400036622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 tint="-0.14990691854609822"/>
      </font>
      <fill>
        <patternFill>
          <bgColor theme="0" tint="-0.1499069185460982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940593</xdr:colOff>
      <xdr:row>1</xdr:row>
      <xdr:rowOff>178594</xdr:rowOff>
    </xdr:from>
    <xdr:to>
      <xdr:col>7</xdr:col>
      <xdr:colOff>1135409</xdr:colOff>
      <xdr:row>8</xdr:row>
      <xdr:rowOff>73819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834" y="1131094"/>
          <a:ext cx="3131252" cy="190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262"/>
  <sheetViews>
    <sheetView showGridLines="0" tabSelected="1" zoomScale="80" workbookViewId="0">
      <selection activeCell="B229" sqref="B229:D239"/>
    </sheetView>
  </sheetViews>
  <sheetFormatPr defaultRowHeight="14.5" outlineLevelRow="2" outlineLevelCol="1" x14ac:dyDescent="0.35"/>
  <cols>
    <col min="1" max="1" width="5.453125" style="55" customWidth="1"/>
    <col min="2" max="2" width="41.1796875" style="1" customWidth="1"/>
    <col min="3" max="3" width="20.453125" style="4" customWidth="1"/>
    <col min="4" max="4" width="25.81640625" style="34" customWidth="1"/>
    <col min="5" max="5" width="21.81640625" customWidth="1"/>
    <col min="6" max="6" width="20.81640625" customWidth="1"/>
    <col min="7" max="11" width="19.453125" customWidth="1"/>
    <col min="12" max="12" width="14.81640625" customWidth="1"/>
    <col min="13" max="13" width="16.1796875" customWidth="1" outlineLevel="1"/>
    <col min="14" max="18" width="14.81640625" customWidth="1" outlineLevel="1"/>
    <col min="19" max="33" width="13.81640625" customWidth="1" outlineLevel="1"/>
  </cols>
  <sheetData>
    <row r="1" spans="1:34" ht="75" customHeight="1" x14ac:dyDescent="0.35">
      <c r="A1" s="91"/>
      <c r="B1" s="90" t="s">
        <v>351</v>
      </c>
      <c r="C1" s="52"/>
      <c r="D1" s="52" t="s">
        <v>99</v>
      </c>
      <c r="E1" s="10"/>
      <c r="F1" s="10"/>
      <c r="G1" s="10"/>
      <c r="H1" s="10"/>
      <c r="I1" s="10"/>
      <c r="J1" s="10"/>
      <c r="K1" s="10"/>
      <c r="L1" s="196" t="s">
        <v>122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4" ht="23.5" x14ac:dyDescent="0.35">
      <c r="C2" s="89"/>
      <c r="D2" s="16"/>
      <c r="E2" s="16"/>
      <c r="F2" s="16"/>
      <c r="G2" s="1"/>
      <c r="H2" s="1"/>
      <c r="I2" s="37"/>
      <c r="J2" s="37"/>
      <c r="K2" s="37"/>
      <c r="L2" s="3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37"/>
      <c r="AE2" s="37"/>
      <c r="AF2" s="37"/>
      <c r="AG2" s="37"/>
      <c r="AH2" s="28"/>
    </row>
    <row r="3" spans="1:34" ht="22.5" customHeight="1" x14ac:dyDescent="0.35">
      <c r="B3" s="144" t="s">
        <v>144</v>
      </c>
      <c r="C3" s="29"/>
      <c r="D3" s="29"/>
      <c r="E3" s="152"/>
      <c r="F3" s="1"/>
      <c r="G3" s="1"/>
      <c r="H3" s="1"/>
      <c r="I3" s="181" t="s">
        <v>303</v>
      </c>
      <c r="J3" s="88"/>
      <c r="K3" s="168"/>
      <c r="L3" s="3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37"/>
      <c r="AH3" s="28"/>
    </row>
    <row r="4" spans="1:34" ht="22.5" customHeight="1" x14ac:dyDescent="0.35">
      <c r="B4" s="141" t="s">
        <v>391</v>
      </c>
      <c r="C4" s="140" t="s">
        <v>53</v>
      </c>
      <c r="D4" s="93"/>
      <c r="E4" s="134"/>
      <c r="G4" s="1"/>
      <c r="H4" s="1"/>
      <c r="I4" s="181" t="s">
        <v>245</v>
      </c>
      <c r="J4" s="206">
        <v>1</v>
      </c>
      <c r="K4" s="168"/>
      <c r="L4" s="3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37"/>
      <c r="AH4" s="28"/>
    </row>
    <row r="5" spans="1:34" ht="22.5" customHeight="1" x14ac:dyDescent="0.35">
      <c r="B5" s="130" t="s">
        <v>84</v>
      </c>
      <c r="C5" s="150" t="s">
        <v>113</v>
      </c>
      <c r="D5" s="95"/>
      <c r="E5" s="160"/>
      <c r="F5" s="1"/>
      <c r="G5" s="1"/>
      <c r="H5" s="1"/>
      <c r="I5" s="181" t="s">
        <v>148</v>
      </c>
      <c r="J5" s="206">
        <v>1</v>
      </c>
      <c r="K5" s="168"/>
      <c r="L5" s="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37"/>
      <c r="AH5" s="28"/>
    </row>
    <row r="6" spans="1:34" ht="22.5" customHeight="1" x14ac:dyDescent="0.35">
      <c r="B6" s="146" t="s">
        <v>300</v>
      </c>
      <c r="C6" s="150" t="s">
        <v>329</v>
      </c>
      <c r="D6" s="95"/>
      <c r="E6" s="160"/>
      <c r="F6" s="1"/>
      <c r="G6" s="1"/>
      <c r="H6" s="1"/>
      <c r="I6" s="181" t="s">
        <v>342</v>
      </c>
      <c r="J6" s="206" t="s">
        <v>232</v>
      </c>
      <c r="K6" s="168"/>
      <c r="L6" s="3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7"/>
      <c r="AH6" s="28"/>
    </row>
    <row r="7" spans="1:34" ht="22.5" customHeight="1" x14ac:dyDescent="0.35">
      <c r="B7" s="137" t="s">
        <v>211</v>
      </c>
      <c r="C7" s="150" t="s">
        <v>190</v>
      </c>
      <c r="D7" s="95"/>
      <c r="E7" s="160"/>
      <c r="F7" s="1"/>
      <c r="G7" s="1"/>
      <c r="H7" s="1"/>
      <c r="I7" s="88"/>
      <c r="J7" s="88"/>
      <c r="K7" s="168"/>
      <c r="L7" s="3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7"/>
      <c r="AE7" s="37"/>
      <c r="AF7" s="37"/>
      <c r="AG7" s="37"/>
      <c r="AH7" s="28"/>
    </row>
    <row r="8" spans="1:34" ht="22.5" customHeight="1" x14ac:dyDescent="0.35">
      <c r="B8" s="127" t="s">
        <v>327</v>
      </c>
      <c r="C8" s="150" t="s">
        <v>115</v>
      </c>
      <c r="D8" s="95"/>
      <c r="E8" s="160"/>
      <c r="F8" s="1"/>
      <c r="G8" s="1"/>
      <c r="H8" s="1"/>
      <c r="I8" s="210"/>
      <c r="J8" s="28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7"/>
      <c r="AE8" s="37"/>
      <c r="AF8" s="37"/>
      <c r="AG8" s="37"/>
      <c r="AH8" s="28"/>
    </row>
    <row r="9" spans="1:34" ht="23.5" x14ac:dyDescent="0.35">
      <c r="C9" s="89"/>
      <c r="D9" s="16"/>
      <c r="E9" s="16"/>
      <c r="F9" s="1"/>
      <c r="G9" s="1"/>
      <c r="H9" s="1"/>
      <c r="I9" s="37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7"/>
      <c r="AE9" s="37"/>
      <c r="AF9" s="37"/>
      <c r="AG9" s="37"/>
      <c r="AH9" s="28"/>
    </row>
    <row r="10" spans="1:34" ht="28.5" customHeight="1" collapsed="1" x14ac:dyDescent="0.35">
      <c r="A10" s="35"/>
      <c r="B10" s="29" t="s">
        <v>352</v>
      </c>
      <c r="C10" s="19"/>
      <c r="D10" s="1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6"/>
    </row>
    <row r="11" spans="1:34" ht="21" hidden="1" customHeight="1" outlineLevel="1" x14ac:dyDescent="0.35">
      <c r="A11" s="15"/>
      <c r="B11" s="4"/>
      <c r="D11" s="4"/>
      <c r="E11" s="4"/>
      <c r="F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4" ht="21" hidden="1" customHeight="1" outlineLevel="1" x14ac:dyDescent="0.35">
      <c r="A12" s="15"/>
      <c r="B12" s="4" t="s">
        <v>343</v>
      </c>
      <c r="D12" s="221" t="s">
        <v>234</v>
      </c>
      <c r="E12" s="222"/>
      <c r="F12" s="223"/>
      <c r="H12" s="148" t="s">
        <v>193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4" ht="21" hidden="1" customHeight="1" outlineLevel="1" x14ac:dyDescent="0.35">
      <c r="A13" s="15"/>
      <c r="B13" s="4"/>
      <c r="D13" s="4"/>
      <c r="E13" s="4"/>
      <c r="H13" s="1" t="s">
        <v>353</v>
      </c>
      <c r="I13" s="87" t="b">
        <v>1</v>
      </c>
      <c r="J13" s="195" t="s">
        <v>28</v>
      </c>
      <c r="K13" s="87">
        <v>15319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4" ht="45" hidden="1" customHeight="1" outlineLevel="1" x14ac:dyDescent="0.35">
      <c r="A14" s="15"/>
      <c r="B14" s="63" t="s">
        <v>282</v>
      </c>
      <c r="D14" s="224">
        <v>0</v>
      </c>
      <c r="E14" s="225"/>
      <c r="F14" s="226"/>
      <c r="H14" s="227" t="s">
        <v>147</v>
      </c>
      <c r="I14" s="227"/>
      <c r="J14" s="227"/>
      <c r="K14" s="22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4" ht="21" hidden="1" customHeight="1" outlineLevel="1" x14ac:dyDescent="0.35">
      <c r="A15" s="15"/>
      <c r="B15" s="4"/>
      <c r="D15" s="4"/>
      <c r="E15" s="1"/>
      <c r="F15" s="4"/>
      <c r="G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4" ht="21" hidden="1" customHeight="1" outlineLevel="1" x14ac:dyDescent="0.35">
      <c r="A16" s="15"/>
      <c r="B16" s="4" t="s">
        <v>344</v>
      </c>
      <c r="C16" s="4" t="s">
        <v>104</v>
      </c>
      <c r="D16" s="200" t="s">
        <v>67</v>
      </c>
      <c r="E16" s="1"/>
      <c r="F16" s="1"/>
      <c r="G16" s="1"/>
      <c r="H16" s="148" t="s">
        <v>272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1" hidden="1" customHeight="1" outlineLevel="1" x14ac:dyDescent="0.35">
      <c r="A17" s="15"/>
      <c r="B17" s="4" t="s">
        <v>98</v>
      </c>
      <c r="D17" s="204" t="s">
        <v>126</v>
      </c>
      <c r="E17" s="1"/>
      <c r="F17" s="1"/>
      <c r="G17" s="1"/>
      <c r="H17" s="1" t="s">
        <v>194</v>
      </c>
      <c r="I17" s="87" t="b">
        <v>1</v>
      </c>
      <c r="J17" s="34" t="s">
        <v>88</v>
      </c>
      <c r="K17" s="87">
        <v>0</v>
      </c>
      <c r="L17" s="4" t="s">
        <v>354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1" hidden="1" customHeight="1" outlineLevel="1" x14ac:dyDescent="0.35">
      <c r="A18" s="15"/>
      <c r="B18" s="4" t="s">
        <v>0</v>
      </c>
      <c r="D18" s="173" t="s">
        <v>181</v>
      </c>
      <c r="E18" s="1"/>
      <c r="F18" s="1"/>
      <c r="G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21" hidden="1" customHeight="1" outlineLevel="1" x14ac:dyDescent="0.35">
      <c r="A19" s="15"/>
      <c r="B19" s="4" t="s">
        <v>254</v>
      </c>
      <c r="D19" s="8" t="s">
        <v>262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21" hidden="1" customHeight="1" outlineLevel="1" x14ac:dyDescent="0.35">
      <c r="A20" s="15"/>
      <c r="B20" s="4" t="s">
        <v>422</v>
      </c>
      <c r="D20" s="8" t="s">
        <v>180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21" hidden="1" customHeight="1" outlineLevel="1" x14ac:dyDescent="0.35">
      <c r="A21" s="15"/>
      <c r="B21" s="4"/>
      <c r="D21" s="4"/>
      <c r="E21" s="1"/>
      <c r="F21" s="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84.75" hidden="1" customHeight="1" outlineLevel="1" x14ac:dyDescent="0.35">
      <c r="A22" s="15"/>
      <c r="B22" s="63" t="s">
        <v>27</v>
      </c>
      <c r="D22" s="228"/>
      <c r="E22" s="225"/>
      <c r="F22" s="22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1" hidden="1" customHeight="1" outlineLevel="1" x14ac:dyDescent="0.35">
      <c r="A23" s="15"/>
      <c r="B23" s="4"/>
      <c r="D23" s="4"/>
      <c r="E23" s="1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28.5" customHeight="1" x14ac:dyDescent="0.35">
      <c r="A24" s="35"/>
      <c r="B24" s="29" t="s">
        <v>407</v>
      </c>
      <c r="C24" s="19"/>
      <c r="D24" s="1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6"/>
    </row>
    <row r="25" spans="1:33" ht="21" customHeight="1" outlineLevel="1" x14ac:dyDescent="0.35">
      <c r="A25" s="15"/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1" hidden="1" customHeight="1" outlineLevel="1" x14ac:dyDescent="0.35">
      <c r="A26" s="15"/>
      <c r="B26" s="4" t="s">
        <v>208</v>
      </c>
      <c r="C26" s="4" t="s">
        <v>72</v>
      </c>
      <c r="D26" s="78">
        <v>137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21" hidden="1" customHeight="1" outlineLevel="1" x14ac:dyDescent="0.35">
      <c r="A27" s="15"/>
      <c r="B27" s="4" t="s">
        <v>184</v>
      </c>
      <c r="C27" s="4" t="s">
        <v>72</v>
      </c>
      <c r="D27" s="78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21" hidden="1" customHeight="1" outlineLevel="1" x14ac:dyDescent="0.35">
      <c r="A28" s="15"/>
      <c r="B28" s="4" t="s">
        <v>49</v>
      </c>
      <c r="C28" s="4" t="s">
        <v>72</v>
      </c>
      <c r="D28" s="85">
        <f>AreaLeasedNet+AreaOwnedWtdAvg</f>
        <v>137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1" customHeight="1" outlineLevel="1" x14ac:dyDescent="0.35">
      <c r="A29" s="15"/>
      <c r="B29" s="4" t="s">
        <v>78</v>
      </c>
      <c r="C29" s="4" t="s">
        <v>72</v>
      </c>
      <c r="D29" s="78">
        <v>137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21" hidden="1" customHeight="1" outlineLevel="1" x14ac:dyDescent="0.35">
      <c r="A30" s="15"/>
      <c r="B30" s="4" t="s">
        <v>322</v>
      </c>
      <c r="C30" s="4" t="s">
        <v>72</v>
      </c>
      <c r="D30" s="85">
        <f>AreaAvailable-AreaUsable</f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21" customHeight="1" outlineLevel="1" x14ac:dyDescent="0.35">
      <c r="A31" s="15"/>
      <c r="B31" s="4" t="s">
        <v>1</v>
      </c>
      <c r="C31" s="4" t="s">
        <v>72</v>
      </c>
      <c r="D31" s="78">
        <v>110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21" hidden="1" customHeight="1" outlineLevel="1" x14ac:dyDescent="0.35">
      <c r="A32" s="15"/>
      <c r="B32" s="4" t="s">
        <v>48</v>
      </c>
      <c r="C32" s="4" t="s">
        <v>72</v>
      </c>
      <c r="D32" s="85">
        <f>AreaUsable-AreaMilking</f>
        <v>27</v>
      </c>
      <c r="E32" s="1"/>
      <c r="G32" s="15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21" hidden="1" customHeight="1" outlineLevel="1" x14ac:dyDescent="0.35">
      <c r="A33" s="15"/>
      <c r="B33" s="4" t="s">
        <v>24</v>
      </c>
      <c r="C33" s="4" t="s">
        <v>72</v>
      </c>
      <c r="D33" s="78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21" hidden="1" customHeight="1" outlineLevel="1" x14ac:dyDescent="0.35">
      <c r="A34" s="15"/>
      <c r="B34" s="4" t="s">
        <v>35</v>
      </c>
      <c r="C34" s="4" t="s">
        <v>72</v>
      </c>
      <c r="D34" s="78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21" hidden="1" customHeight="1" outlineLevel="1" x14ac:dyDescent="0.35">
      <c r="A35" s="15"/>
      <c r="B35" s="4" t="s">
        <v>165</v>
      </c>
      <c r="C35" s="4" t="s">
        <v>72</v>
      </c>
      <c r="D35" s="85">
        <v>0</v>
      </c>
      <c r="E35" s="1"/>
      <c r="G35" s="15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21" hidden="1" customHeight="1" outlineLevel="1" x14ac:dyDescent="0.35">
      <c r="A36" s="15"/>
      <c r="B36" s="4" t="s">
        <v>323</v>
      </c>
      <c r="C36" s="4" t="s">
        <v>72</v>
      </c>
      <c r="D36" s="85">
        <f>AreaUsable-AreaIrrigated</f>
        <v>137</v>
      </c>
      <c r="E36" s="1"/>
      <c r="G36" s="15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21" hidden="1" customHeight="1" outlineLevel="1" x14ac:dyDescent="0.35">
      <c r="A37" s="15"/>
      <c r="B37" s="4"/>
      <c r="D37" s="4"/>
      <c r="E37" s="4"/>
      <c r="G37" s="15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1" hidden="1" customHeight="1" outlineLevel="1" x14ac:dyDescent="0.35">
      <c r="A38" s="15"/>
      <c r="B38" s="4" t="s">
        <v>400</v>
      </c>
      <c r="D38" s="8" t="s">
        <v>260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21" hidden="1" customHeight="1" outlineLevel="1" x14ac:dyDescent="0.35">
      <c r="A39" s="15"/>
      <c r="B39" s="4" t="s">
        <v>140</v>
      </c>
      <c r="C39" s="4" t="s">
        <v>237</v>
      </c>
      <c r="D39" s="78">
        <v>1.0488088481701516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21" hidden="1" customHeight="1" outlineLevel="1" x14ac:dyDescent="0.35">
      <c r="A40" s="15"/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28.5" hidden="1" customHeight="1" x14ac:dyDescent="0.35">
      <c r="A41" s="35"/>
      <c r="B41" s="29" t="s">
        <v>408</v>
      </c>
      <c r="C41" s="19"/>
      <c r="D41" s="19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6"/>
    </row>
    <row r="42" spans="1:33" ht="21" hidden="1" outlineLevel="1" x14ac:dyDescent="0.5">
      <c r="A42" s="92"/>
      <c r="B42" s="86"/>
      <c r="C42" s="43"/>
      <c r="D42" s="96"/>
      <c r="E42" s="1"/>
      <c r="F42" s="15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"/>
    </row>
    <row r="43" spans="1:33" ht="21" hidden="1" customHeight="1" outlineLevel="1" x14ac:dyDescent="0.35">
      <c r="A43" s="15"/>
      <c r="B43" s="4" t="s">
        <v>209</v>
      </c>
      <c r="D43" s="8" t="s">
        <v>314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21" hidden="1" customHeight="1" outlineLevel="1" x14ac:dyDescent="0.35">
      <c r="A44" s="15"/>
      <c r="B44" s="4" t="s">
        <v>360</v>
      </c>
      <c r="D44" s="8" t="s">
        <v>259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21" customHeight="1" outlineLevel="1" x14ac:dyDescent="0.35">
      <c r="A45" s="15"/>
      <c r="B45" s="4" t="s">
        <v>83</v>
      </c>
      <c r="D45" s="182">
        <v>178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21" hidden="1" customHeight="1" outlineLevel="1" x14ac:dyDescent="0.35">
      <c r="A46" s="15"/>
      <c r="B46" s="4" t="s">
        <v>426</v>
      </c>
      <c r="D46" s="163">
        <v>305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21" hidden="1" customHeight="1" outlineLevel="1" x14ac:dyDescent="0.35">
      <c r="A47" s="15"/>
      <c r="B47" s="4"/>
      <c r="D47"/>
      <c r="F47" s="1"/>
      <c r="G47" s="1"/>
      <c r="AG47" s="1"/>
    </row>
    <row r="48" spans="1:33" ht="21" hidden="1" customHeight="1" outlineLevel="1" x14ac:dyDescent="0.35">
      <c r="A48" s="33"/>
      <c r="B48" s="31" t="s">
        <v>413</v>
      </c>
      <c r="D48" s="9" t="s">
        <v>385</v>
      </c>
      <c r="E48" s="9" t="s">
        <v>160</v>
      </c>
      <c r="F48" s="9" t="s">
        <v>365</v>
      </c>
      <c r="G48" s="9" t="s">
        <v>143</v>
      </c>
      <c r="H48" s="1"/>
      <c r="AG48" s="1"/>
    </row>
    <row r="49" spans="1:33" ht="21" hidden="1" customHeight="1" outlineLevel="1" x14ac:dyDescent="0.35">
      <c r="A49" s="15"/>
      <c r="B49" s="4"/>
      <c r="C49" s="32" t="s">
        <v>102</v>
      </c>
      <c r="D49" s="114">
        <v>0</v>
      </c>
      <c r="E49" s="114">
        <v>0</v>
      </c>
      <c r="F49" s="114">
        <v>0</v>
      </c>
      <c r="G49" s="190">
        <f t="shared" ref="G49:G60" si="0">E49+F49</f>
        <v>0</v>
      </c>
      <c r="H49" s="1"/>
      <c r="AG49" s="1"/>
    </row>
    <row r="50" spans="1:33" ht="21" hidden="1" customHeight="1" outlineLevel="1" x14ac:dyDescent="0.35">
      <c r="A50" s="15"/>
      <c r="B50" s="4"/>
      <c r="C50" s="32" t="s">
        <v>178</v>
      </c>
      <c r="D50" s="114">
        <v>0</v>
      </c>
      <c r="E50" s="114">
        <v>0</v>
      </c>
      <c r="F50" s="114">
        <v>0</v>
      </c>
      <c r="G50" s="190">
        <f t="shared" si="0"/>
        <v>0</v>
      </c>
      <c r="H50" s="1"/>
      <c r="AG50" s="1"/>
    </row>
    <row r="51" spans="1:33" ht="21" hidden="1" customHeight="1" outlineLevel="1" x14ac:dyDescent="0.35">
      <c r="A51" s="15"/>
      <c r="B51" s="4"/>
      <c r="C51" s="32" t="s">
        <v>263</v>
      </c>
      <c r="D51" s="114">
        <v>0</v>
      </c>
      <c r="E51" s="114">
        <v>0</v>
      </c>
      <c r="F51" s="114">
        <v>0</v>
      </c>
      <c r="G51" s="190">
        <f t="shared" si="0"/>
        <v>0</v>
      </c>
      <c r="H51" s="1"/>
      <c r="AG51" s="1"/>
    </row>
    <row r="52" spans="1:33" ht="21" hidden="1" customHeight="1" outlineLevel="1" x14ac:dyDescent="0.35">
      <c r="A52" s="15"/>
      <c r="B52" s="4"/>
      <c r="C52" s="32" t="s">
        <v>39</v>
      </c>
      <c r="D52" s="114">
        <v>0</v>
      </c>
      <c r="E52" s="114">
        <v>0</v>
      </c>
      <c r="F52" s="114">
        <v>0</v>
      </c>
      <c r="G52" s="190">
        <f t="shared" si="0"/>
        <v>0</v>
      </c>
      <c r="H52" s="1"/>
      <c r="AG52" s="1"/>
    </row>
    <row r="53" spans="1:33" ht="21" hidden="1" customHeight="1" outlineLevel="1" x14ac:dyDescent="0.35">
      <c r="A53" s="15"/>
      <c r="B53" s="4"/>
      <c r="C53" s="32" t="s">
        <v>103</v>
      </c>
      <c r="D53" s="114">
        <v>0</v>
      </c>
      <c r="E53" s="114">
        <v>0</v>
      </c>
      <c r="F53" s="114">
        <v>0</v>
      </c>
      <c r="G53" s="190">
        <f t="shared" si="0"/>
        <v>0</v>
      </c>
      <c r="H53" s="1"/>
      <c r="AG53" s="1"/>
    </row>
    <row r="54" spans="1:33" ht="21" hidden="1" customHeight="1" outlineLevel="1" x14ac:dyDescent="0.35">
      <c r="A54" s="15"/>
      <c r="B54" s="4"/>
      <c r="C54" s="32" t="s">
        <v>315</v>
      </c>
      <c r="D54" s="114">
        <v>0</v>
      </c>
      <c r="E54" s="114">
        <v>0</v>
      </c>
      <c r="F54" s="114">
        <v>0</v>
      </c>
      <c r="G54" s="190">
        <f t="shared" si="0"/>
        <v>0</v>
      </c>
      <c r="H54" s="1"/>
      <c r="AG54" s="1"/>
    </row>
    <row r="55" spans="1:33" ht="21" hidden="1" customHeight="1" outlineLevel="1" x14ac:dyDescent="0.35">
      <c r="A55" s="15"/>
      <c r="B55" s="4"/>
      <c r="C55" s="32" t="s">
        <v>203</v>
      </c>
      <c r="D55" s="114">
        <v>0</v>
      </c>
      <c r="E55" s="114">
        <v>0</v>
      </c>
      <c r="F55" s="114">
        <v>0</v>
      </c>
      <c r="G55" s="190">
        <f t="shared" si="0"/>
        <v>0</v>
      </c>
      <c r="H55" s="1"/>
      <c r="AG55" s="1"/>
    </row>
    <row r="56" spans="1:33" ht="21" hidden="1" customHeight="1" outlineLevel="1" x14ac:dyDescent="0.35">
      <c r="A56" s="15"/>
      <c r="B56" s="4"/>
      <c r="C56" s="32" t="s">
        <v>204</v>
      </c>
      <c r="D56" s="114">
        <v>0</v>
      </c>
      <c r="E56" s="114">
        <v>0</v>
      </c>
      <c r="F56" s="114">
        <v>0</v>
      </c>
      <c r="G56" s="190">
        <f t="shared" si="0"/>
        <v>0</v>
      </c>
      <c r="H56" s="1"/>
      <c r="AG56" s="1"/>
    </row>
    <row r="57" spans="1:33" ht="21" hidden="1" customHeight="1" outlineLevel="1" x14ac:dyDescent="0.35">
      <c r="A57" s="15"/>
      <c r="B57" s="4"/>
      <c r="C57" s="32" t="s">
        <v>6</v>
      </c>
      <c r="D57" s="114">
        <v>0</v>
      </c>
      <c r="E57" s="114">
        <v>0</v>
      </c>
      <c r="F57" s="114">
        <v>0</v>
      </c>
      <c r="G57" s="190">
        <f t="shared" si="0"/>
        <v>0</v>
      </c>
      <c r="H57" s="1"/>
      <c r="AG57" s="1"/>
    </row>
    <row r="58" spans="1:33" ht="21" hidden="1" customHeight="1" outlineLevel="1" x14ac:dyDescent="0.35">
      <c r="A58" s="15"/>
      <c r="B58" s="4"/>
      <c r="C58" s="32" t="s">
        <v>179</v>
      </c>
      <c r="D58" s="114">
        <v>0</v>
      </c>
      <c r="E58" s="114">
        <v>0</v>
      </c>
      <c r="F58" s="114">
        <v>0</v>
      </c>
      <c r="G58" s="190">
        <f t="shared" si="0"/>
        <v>0</v>
      </c>
      <c r="H58" s="1"/>
      <c r="AG58" s="1"/>
    </row>
    <row r="59" spans="1:33" ht="21" hidden="1" customHeight="1" outlineLevel="1" x14ac:dyDescent="0.35">
      <c r="A59" s="15"/>
      <c r="B59" s="4"/>
      <c r="C59" s="32" t="s">
        <v>361</v>
      </c>
      <c r="D59" s="114">
        <v>0</v>
      </c>
      <c r="E59" s="114">
        <v>0</v>
      </c>
      <c r="F59" s="114">
        <v>0</v>
      </c>
      <c r="G59" s="190">
        <f t="shared" si="0"/>
        <v>0</v>
      </c>
      <c r="H59" s="1"/>
      <c r="AG59" s="1"/>
    </row>
    <row r="60" spans="1:33" ht="21" hidden="1" customHeight="1" outlineLevel="1" x14ac:dyDescent="0.35">
      <c r="A60" s="15"/>
      <c r="B60" s="4"/>
      <c r="C60" s="32" t="s">
        <v>316</v>
      </c>
      <c r="D60" s="114">
        <v>0</v>
      </c>
      <c r="E60" s="114">
        <v>0</v>
      </c>
      <c r="F60" s="114">
        <v>0</v>
      </c>
      <c r="G60" s="190">
        <f t="shared" si="0"/>
        <v>0</v>
      </c>
      <c r="H60" s="1"/>
      <c r="AG60" s="1"/>
    </row>
    <row r="61" spans="1:33" ht="21" hidden="1" customHeight="1" outlineLevel="1" x14ac:dyDescent="0.35">
      <c r="A61" s="15"/>
      <c r="B61" s="4"/>
      <c r="C61" s="32" t="s">
        <v>14</v>
      </c>
      <c r="D61" s="192"/>
      <c r="E61" s="121">
        <f t="shared" ref="E61:G61" si="1">IF(ISERR(AVERAGE(E49:E60)),"",AVERAGE(E49:E60))</f>
        <v>0</v>
      </c>
      <c r="F61" s="121">
        <f t="shared" si="1"/>
        <v>0</v>
      </c>
      <c r="G61" s="121">
        <f t="shared" si="1"/>
        <v>0</v>
      </c>
      <c r="H61" s="1"/>
      <c r="AG61" s="1"/>
    </row>
    <row r="62" spans="1:33" ht="21" hidden="1" customHeight="1" outlineLevel="1" x14ac:dyDescent="0.35">
      <c r="A62" s="15"/>
      <c r="B62" s="4"/>
      <c r="D6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21" hidden="1" customHeight="1" outlineLevel="1" x14ac:dyDescent="0.35">
      <c r="A63" s="198"/>
      <c r="B63" s="17" t="s">
        <v>366</v>
      </c>
      <c r="D63" s="9" t="s">
        <v>292</v>
      </c>
      <c r="E63" s="9" t="s">
        <v>82</v>
      </c>
      <c r="F63" s="9" t="s">
        <v>46</v>
      </c>
      <c r="G63" s="9" t="s">
        <v>348</v>
      </c>
      <c r="H63" s="9" t="s">
        <v>240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21" hidden="1" customHeight="1" outlineLevel="1" x14ac:dyDescent="0.35">
      <c r="A64" s="15"/>
      <c r="B64" s="4" t="s">
        <v>75</v>
      </c>
      <c r="D64" s="8" t="s">
        <v>73</v>
      </c>
      <c r="E64" s="8" t="s">
        <v>73</v>
      </c>
      <c r="F64" s="8" t="s">
        <v>73</v>
      </c>
      <c r="G64" s="8" t="s">
        <v>73</v>
      </c>
      <c r="H64" s="8" t="s">
        <v>73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21" hidden="1" customHeight="1" outlineLevel="1" x14ac:dyDescent="0.35">
      <c r="A65" s="15"/>
      <c r="B65" s="4" t="s">
        <v>25</v>
      </c>
      <c r="C65" s="4" t="s">
        <v>318</v>
      </c>
      <c r="D65" s="80">
        <v>48</v>
      </c>
      <c r="E65" s="80">
        <v>18</v>
      </c>
      <c r="F65" s="80">
        <v>6</v>
      </c>
      <c r="G65" s="80">
        <v>48</v>
      </c>
      <c r="H65" s="80">
        <v>18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21" hidden="1" customHeight="1" outlineLevel="1" x14ac:dyDescent="0.35">
      <c r="A66" s="15"/>
      <c r="B66" s="4" t="s">
        <v>416</v>
      </c>
      <c r="C66" s="4" t="s">
        <v>266</v>
      </c>
      <c r="D66" s="80">
        <v>1600</v>
      </c>
      <c r="E66" s="80">
        <v>1200</v>
      </c>
      <c r="F66" s="80">
        <v>600</v>
      </c>
      <c r="G66" s="80">
        <v>2400</v>
      </c>
      <c r="H66" s="80">
        <v>1200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21" hidden="1" customHeight="1" outlineLevel="1" x14ac:dyDescent="0.35">
      <c r="A67" s="15"/>
      <c r="B67" s="4" t="s">
        <v>26</v>
      </c>
      <c r="C67" s="4" t="s">
        <v>405</v>
      </c>
      <c r="D67" s="133">
        <v>550</v>
      </c>
      <c r="E67" s="59">
        <v>324</v>
      </c>
      <c r="F67" s="59">
        <v>134</v>
      </c>
      <c r="G67" s="59">
        <v>990</v>
      </c>
      <c r="H67" s="133">
        <v>590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21" hidden="1" customHeight="1" outlineLevel="1" x14ac:dyDescent="0.35">
      <c r="A68" s="15"/>
      <c r="B68" s="4"/>
      <c r="D68" s="109" t="s">
        <v>34</v>
      </c>
      <c r="E68" s="4"/>
      <c r="F68" s="4"/>
      <c r="G68" s="4"/>
      <c r="H68" s="4"/>
      <c r="I68" s="109" t="s">
        <v>252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21" hidden="1" customHeight="1" outlineLevel="1" x14ac:dyDescent="0.35">
      <c r="A69" s="15"/>
      <c r="B69" s="16" t="s">
        <v>310</v>
      </c>
      <c r="C69" s="4" t="s">
        <v>238</v>
      </c>
      <c r="D69" s="39">
        <v>180.25</v>
      </c>
      <c r="E69" s="39">
        <v>0</v>
      </c>
      <c r="F69" s="39">
        <v>0</v>
      </c>
      <c r="G69" s="39">
        <v>0</v>
      </c>
      <c r="H69" s="39">
        <v>0</v>
      </c>
      <c r="I69" s="13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21" hidden="1" customHeight="1" outlineLevel="1" x14ac:dyDescent="0.35">
      <c r="A70" s="15"/>
      <c r="B70" s="16" t="s">
        <v>427</v>
      </c>
      <c r="C70" s="4" t="s">
        <v>238</v>
      </c>
      <c r="D70" s="59">
        <f t="shared" ref="D70:E70" si="2">+(E69-E71+E73-E75)</f>
        <v>0</v>
      </c>
      <c r="E70" s="59">
        <f t="shared" si="2"/>
        <v>0</v>
      </c>
      <c r="F70" s="59">
        <f>I70-I71+I73-I75</f>
        <v>0</v>
      </c>
      <c r="G70" s="59"/>
      <c r="H70" s="59"/>
      <c r="I70" s="39"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21" hidden="1" customHeight="1" outlineLevel="1" x14ac:dyDescent="0.35">
      <c r="A71" s="15"/>
      <c r="B71" s="16" t="s">
        <v>230</v>
      </c>
      <c r="C71" s="4" t="s">
        <v>238</v>
      </c>
      <c r="D71" s="39"/>
      <c r="E71" s="39"/>
      <c r="F71" s="39"/>
      <c r="G71" s="39"/>
      <c r="H71" s="39"/>
      <c r="I71" s="39"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21" hidden="1" customHeight="1" outlineLevel="1" x14ac:dyDescent="0.35">
      <c r="A72" s="15"/>
      <c r="B72" s="16" t="s">
        <v>357</v>
      </c>
      <c r="C72" s="4" t="s">
        <v>158</v>
      </c>
      <c r="D72" s="39"/>
      <c r="E72" s="39"/>
      <c r="F72" s="39"/>
      <c r="G72" s="39"/>
      <c r="H72" s="39"/>
      <c r="I72" s="39"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21" hidden="1" customHeight="1" outlineLevel="1" x14ac:dyDescent="0.35">
      <c r="A73" s="15"/>
      <c r="B73" s="16" t="s">
        <v>339</v>
      </c>
      <c r="C73" s="4" t="s">
        <v>238</v>
      </c>
      <c r="D73" s="39"/>
      <c r="E73" s="39"/>
      <c r="F73" s="39"/>
      <c r="G73" s="39"/>
      <c r="H73" s="39"/>
      <c r="I73" s="39"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21" hidden="1" customHeight="1" outlineLevel="1" x14ac:dyDescent="0.35">
      <c r="A74" s="15"/>
      <c r="B74" s="16" t="s">
        <v>175</v>
      </c>
      <c r="C74" s="4" t="s">
        <v>158</v>
      </c>
      <c r="D74" s="39"/>
      <c r="E74" s="39"/>
      <c r="F74" s="39"/>
      <c r="G74" s="39"/>
      <c r="H74" s="39"/>
      <c r="I74" s="39"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21" hidden="1" customHeight="1" outlineLevel="1" x14ac:dyDescent="0.35">
      <c r="A75" s="15"/>
      <c r="B75" s="16" t="s">
        <v>231</v>
      </c>
      <c r="C75" s="4" t="s">
        <v>238</v>
      </c>
      <c r="D75" s="39"/>
      <c r="E75" s="39"/>
      <c r="F75" s="39"/>
      <c r="G75" s="39"/>
      <c r="H75" s="39"/>
      <c r="I75" s="39"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21" hidden="1" customHeight="1" outlineLevel="1" x14ac:dyDescent="0.35">
      <c r="A76" s="15"/>
      <c r="B76" s="16" t="s">
        <v>340</v>
      </c>
      <c r="C76" s="4" t="s">
        <v>238</v>
      </c>
      <c r="D76" s="39">
        <v>178</v>
      </c>
      <c r="E76" s="39">
        <v>0</v>
      </c>
      <c r="F76" s="39">
        <v>0</v>
      </c>
      <c r="G76" s="39">
        <v>0</v>
      </c>
      <c r="H76" s="39">
        <v>0</v>
      </c>
      <c r="I76" s="13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21" hidden="1" customHeight="1" outlineLevel="1" x14ac:dyDescent="0.35">
      <c r="A77" s="15"/>
      <c r="B77" s="16" t="s">
        <v>341</v>
      </c>
      <c r="C77" s="4" t="s">
        <v>238</v>
      </c>
      <c r="D77" s="75">
        <f>(D69+D70-D71+D73-D75)</f>
        <v>180.25</v>
      </c>
      <c r="E77" s="75">
        <f t="shared" ref="E77:F77" si="3">E70</f>
        <v>0</v>
      </c>
      <c r="F77" s="75">
        <f t="shared" si="3"/>
        <v>0</v>
      </c>
      <c r="G77" s="75">
        <f t="shared" ref="G77:H77" si="4">(G69+G70-G71+G73-G75)</f>
        <v>0</v>
      </c>
      <c r="H77" s="75">
        <f t="shared" si="4"/>
        <v>0</v>
      </c>
      <c r="I77" s="18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21" hidden="1" customHeight="1" outlineLevel="1" x14ac:dyDescent="0.35">
      <c r="A78" s="186"/>
      <c r="B78" s="16" t="s">
        <v>279</v>
      </c>
      <c r="C78" s="4" t="s">
        <v>238</v>
      </c>
      <c r="D78" s="75">
        <f t="shared" ref="D78:G78" si="5">D76-D77</f>
        <v>-2.25</v>
      </c>
      <c r="E78" s="75">
        <f t="shared" si="5"/>
        <v>0</v>
      </c>
      <c r="F78" s="75">
        <f t="shared" si="5"/>
        <v>0</v>
      </c>
      <c r="G78" s="75">
        <f t="shared" si="5"/>
        <v>0</v>
      </c>
      <c r="H78" s="75">
        <f>H77+H71+H76-H69-H73-H75</f>
        <v>0</v>
      </c>
      <c r="I78" s="75">
        <f>I70+I69+I73-I71-I75-F76</f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21" hidden="1" customHeight="1" outlineLevel="1" x14ac:dyDescent="0.35">
      <c r="A79" s="15"/>
      <c r="B79" s="4"/>
      <c r="D79" s="109" t="s">
        <v>66</v>
      </c>
      <c r="E79" s="4"/>
      <c r="F79" s="4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21" hidden="1" customHeight="1" outlineLevel="1" x14ac:dyDescent="0.35">
      <c r="A80" s="15"/>
      <c r="B80" s="43" t="s">
        <v>110</v>
      </c>
      <c r="C80" s="4" t="s">
        <v>238</v>
      </c>
      <c r="D80" s="39">
        <v>178</v>
      </c>
      <c r="E80" s="39">
        <v>0</v>
      </c>
      <c r="F80" s="39">
        <v>0</v>
      </c>
      <c r="G80" s="39">
        <v>0</v>
      </c>
      <c r="H80" s="39"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21" hidden="1" customHeight="1" outlineLevel="1" x14ac:dyDescent="0.35">
      <c r="A81" s="15"/>
      <c r="B81" s="4" t="s">
        <v>267</v>
      </c>
      <c r="C81" s="4" t="s">
        <v>185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21" hidden="1" customHeight="1" outlineLevel="1" x14ac:dyDescent="0.35">
      <c r="A82" s="15"/>
      <c r="B82" s="4" t="s">
        <v>41</v>
      </c>
      <c r="C82" s="4" t="s">
        <v>185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21" hidden="1" customHeight="1" outlineLevel="1" x14ac:dyDescent="0.35">
      <c r="A83" s="15"/>
      <c r="B83" s="4" t="s">
        <v>239</v>
      </c>
      <c r="C83" s="4" t="s">
        <v>185</v>
      </c>
      <c r="D83" s="82">
        <f t="shared" ref="D83:H83" si="6">52-D81-D82</f>
        <v>52</v>
      </c>
      <c r="E83" s="82">
        <f t="shared" si="6"/>
        <v>52</v>
      </c>
      <c r="F83" s="82">
        <f t="shared" si="6"/>
        <v>52</v>
      </c>
      <c r="G83" s="82">
        <f t="shared" si="6"/>
        <v>52</v>
      </c>
      <c r="H83" s="82">
        <f t="shared" si="6"/>
        <v>52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33" hidden="1" customHeight="1" outlineLevel="1" x14ac:dyDescent="0.35">
      <c r="A84" s="15"/>
      <c r="B84" s="31" t="s">
        <v>116</v>
      </c>
      <c r="D84" s="104" t="s">
        <v>330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21" hidden="1" customHeight="1" outlineLevel="1" x14ac:dyDescent="0.35">
      <c r="A85" s="15"/>
      <c r="B85" s="4" t="s">
        <v>54</v>
      </c>
      <c r="C85" s="4" t="s">
        <v>318</v>
      </c>
      <c r="D85" s="79">
        <v>48</v>
      </c>
      <c r="E85" s="79">
        <v>18</v>
      </c>
      <c r="F85" s="79">
        <v>6</v>
      </c>
      <c r="G85" s="79">
        <v>48</v>
      </c>
      <c r="H85" s="79">
        <v>18</v>
      </c>
      <c r="I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21" hidden="1" customHeight="1" outlineLevel="1" x14ac:dyDescent="0.35">
      <c r="A86" s="15"/>
      <c r="B86" s="4" t="s">
        <v>290</v>
      </c>
      <c r="C86" s="4" t="s">
        <v>266</v>
      </c>
      <c r="D86" s="79" t="e">
        <f>ROUND((INDEX(#REF!,MATCH(FinancialYearId,#REF!,0))*INDEX(#REF!,MATCH(D$64,#REF!,0)))/50,0)*50</f>
        <v>#REF!</v>
      </c>
      <c r="E86" s="79" t="e">
        <f>ROUND(D86*0.75/50,0)*50</f>
        <v>#REF!</v>
      </c>
      <c r="F86" s="79" t="e">
        <f>ROUND(D86*0.375/25,0)*25</f>
        <v>#REF!</v>
      </c>
      <c r="G86" s="79" t="e">
        <f>ROUND(D86*1.5/50,0)*50</f>
        <v>#REF!</v>
      </c>
      <c r="H86" s="79" t="e">
        <f>ROUND(INDEX(#REF!,MATCH(FinancialYearId,#REF!,0))*INDEX(#REF!,MATCH(H$64,#REF!,0))*H87/INDEX(#REF!,MATCH($H$64,#REF!,0))/50,0)*50</f>
        <v>#REF!</v>
      </c>
      <c r="I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21" hidden="1" customHeight="1" outlineLevel="1" x14ac:dyDescent="0.35">
      <c r="A87" s="15"/>
      <c r="B87" s="4" t="s">
        <v>291</v>
      </c>
      <c r="C87" s="4" t="s">
        <v>405</v>
      </c>
      <c r="D87" s="79" t="e">
        <f>INDEX(#REF!,MATCH(D64,#REF!,0))</f>
        <v>#REF!</v>
      </c>
      <c r="E87" s="79" t="e">
        <f>D87*(0.000000000000333*E85*30^4-0.0000000012*E85*30^3+0.000000836*30*E85^2+0.000941*30*E85+0.0743)</f>
        <v>#REF!</v>
      </c>
      <c r="F87" s="79" t="e">
        <f>D87*(0.000000000000333*F85*30^4-0.0000000012*F85*30^3+0.000000836*30*F85^2+0.000941*30*F85+0.0743)</f>
        <v>#REF!</v>
      </c>
      <c r="G87" s="79" t="e">
        <f>D87*1.8</f>
        <v>#REF!</v>
      </c>
      <c r="H87" s="79" t="e">
        <f>INDEX(#REF!,MATCH(H64,#REF!,0))*(0.000000000000333*H85*30^4-0.0000000012*H85*30^3+0.000000836*30*H85^2+0.000941*30*H85+0.0743)</f>
        <v>#REF!</v>
      </c>
      <c r="I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idden="1" outlineLevel="1" x14ac:dyDescent="0.35">
      <c r="A88" s="15"/>
      <c r="B88" s="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28.5" hidden="1" customHeight="1" x14ac:dyDescent="0.35">
      <c r="A89" s="35"/>
      <c r="B89" s="29" t="s">
        <v>286</v>
      </c>
      <c r="C89" s="19"/>
      <c r="D89" s="19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6"/>
    </row>
    <row r="90" spans="1:33" ht="21" hidden="1" customHeight="1" outlineLevel="1" x14ac:dyDescent="0.35">
      <c r="A90" s="15"/>
      <c r="B90" s="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21" hidden="1" customHeight="1" outlineLevel="1" x14ac:dyDescent="0.35">
      <c r="A91" s="15"/>
      <c r="B91" s="4" t="s">
        <v>364</v>
      </c>
      <c r="D91" s="8" t="s">
        <v>314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21" hidden="1" customHeight="1" outlineLevel="1" x14ac:dyDescent="0.35">
      <c r="A92" s="15"/>
      <c r="B92" s="4" t="s">
        <v>13</v>
      </c>
      <c r="D92" s="8" t="s">
        <v>405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21" hidden="1" customHeight="1" outlineLevel="1" x14ac:dyDescent="0.35">
      <c r="A93" s="15"/>
      <c r="B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22.5" hidden="1" customHeight="1" outlineLevel="1" x14ac:dyDescent="0.35">
      <c r="A94" s="33"/>
      <c r="B94" s="31" t="s">
        <v>51</v>
      </c>
      <c r="D94" s="58"/>
      <c r="E94" s="129"/>
      <c r="F94" s="9"/>
      <c r="G94" s="9"/>
      <c r="H94" s="9"/>
      <c r="I94" s="9"/>
      <c r="J94" s="9"/>
      <c r="K94" s="9"/>
      <c r="L94" s="9"/>
      <c r="M94" s="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22.5" customHeight="1" outlineLevel="1" x14ac:dyDescent="0.35">
      <c r="A95" s="15"/>
      <c r="B95" s="4" t="s">
        <v>242</v>
      </c>
      <c r="C95" s="4" t="s">
        <v>285</v>
      </c>
      <c r="D95" s="27">
        <v>1504062</v>
      </c>
      <c r="E95" s="1"/>
      <c r="G95" s="9"/>
      <c r="H95" s="9"/>
      <c r="I95" s="9"/>
      <c r="J95" s="9"/>
      <c r="K95" s="9"/>
      <c r="L95" s="9"/>
      <c r="M95" s="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22.5" customHeight="1" outlineLevel="1" x14ac:dyDescent="0.35">
      <c r="A96" s="15"/>
      <c r="B96" s="4" t="s">
        <v>55</v>
      </c>
      <c r="C96" s="4" t="s">
        <v>405</v>
      </c>
      <c r="D96" s="27">
        <v>120522</v>
      </c>
      <c r="E96" s="1"/>
      <c r="F96" s="9"/>
      <c r="G96" s="9"/>
      <c r="H96" s="9"/>
      <c r="I96" s="9"/>
      <c r="J96" s="9"/>
      <c r="K96" s="9"/>
      <c r="L96" s="9"/>
      <c r="M96" s="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22.5" hidden="1" customHeight="1" outlineLevel="1" x14ac:dyDescent="0.35">
      <c r="A97" s="15"/>
      <c r="B97" s="4" t="s">
        <v>324</v>
      </c>
      <c r="C97" s="4" t="s">
        <v>405</v>
      </c>
      <c r="D97" s="187">
        <v>53752.811999999991</v>
      </c>
      <c r="E97" s="1"/>
      <c r="F97" s="9"/>
      <c r="G97" s="9"/>
      <c r="H97" s="9"/>
      <c r="I97" s="9"/>
      <c r="J97" s="9"/>
      <c r="K97" s="9"/>
      <c r="L97" s="9"/>
      <c r="M97" s="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22.5" hidden="1" customHeight="1" outlineLevel="1" x14ac:dyDescent="0.35">
      <c r="A98" s="15"/>
      <c r="B98" s="4" t="s">
        <v>18</v>
      </c>
      <c r="C98" s="4" t="s">
        <v>412</v>
      </c>
      <c r="D98" s="184">
        <v>4.4400000000000002E-2</v>
      </c>
      <c r="E98" s="1"/>
      <c r="F98" s="9"/>
      <c r="G98" s="9"/>
      <c r="H98" s="9"/>
      <c r="I98" s="9"/>
      <c r="J98" s="9"/>
      <c r="K98" s="9"/>
      <c r="L98" s="9"/>
      <c r="M98" s="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22.5" hidden="1" customHeight="1" outlineLevel="1" x14ac:dyDescent="0.35">
      <c r="A99" s="15"/>
      <c r="B99" s="4" t="s">
        <v>324</v>
      </c>
      <c r="C99" s="4" t="s">
        <v>412</v>
      </c>
      <c r="D99" s="202">
        <v>3.5700000000000003E-2</v>
      </c>
      <c r="E99" s="1"/>
      <c r="F99" s="1"/>
      <c r="G99" s="1"/>
      <c r="H99" s="1"/>
      <c r="I99" s="1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1"/>
    </row>
    <row r="100" spans="1:33" ht="22.5" hidden="1" customHeight="1" outlineLevel="1" x14ac:dyDescent="0.35">
      <c r="A100" s="15"/>
      <c r="B100" s="4"/>
      <c r="D100" s="4"/>
      <c r="E100" s="4"/>
      <c r="F100" s="4"/>
      <c r="G100" s="4"/>
      <c r="H100" s="1"/>
      <c r="I100" s="1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1"/>
    </row>
    <row r="101" spans="1:33" ht="22.5" hidden="1" customHeight="1" outlineLevel="1" x14ac:dyDescent="0.35">
      <c r="A101" s="15"/>
      <c r="B101" s="4" t="s">
        <v>281</v>
      </c>
      <c r="C101" s="4" t="s">
        <v>285</v>
      </c>
      <c r="D101" s="98">
        <f xml:space="preserve"> 4 * 56 * F76 + (D69 * 0.85 * 0.95 - E69 * 0.95 *0.95) * 4 * 5 + MilkLitresTotal * 0.01</f>
        <v>17951.657500000001</v>
      </c>
      <c r="E101" s="1"/>
      <c r="F101" s="1"/>
      <c r="G101" s="1"/>
      <c r="H101" s="1"/>
      <c r="I101" s="1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1"/>
    </row>
    <row r="102" spans="1:33" ht="42.75" hidden="1" customHeight="1" outlineLevel="1" x14ac:dyDescent="0.35">
      <c r="A102" s="15"/>
      <c r="B102" s="4"/>
      <c r="C102" s="42"/>
      <c r="D102" s="58" t="s">
        <v>20</v>
      </c>
      <c r="E102" s="58" t="s">
        <v>414</v>
      </c>
      <c r="F102" s="58" t="s">
        <v>350</v>
      </c>
      <c r="G102" s="58" t="s">
        <v>112</v>
      </c>
      <c r="H102" s="58" t="s">
        <v>325</v>
      </c>
      <c r="I102" s="4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21" hidden="1" customHeight="1" outlineLevel="1" x14ac:dyDescent="0.35">
      <c r="A103" s="33"/>
      <c r="B103" s="31" t="s">
        <v>410</v>
      </c>
      <c r="C103" s="32" t="s">
        <v>102</v>
      </c>
      <c r="D103" s="27">
        <v>0</v>
      </c>
      <c r="E103" s="27">
        <v>0</v>
      </c>
      <c r="F103" s="27">
        <v>0</v>
      </c>
      <c r="G103" s="143">
        <v>0</v>
      </c>
      <c r="H103" s="143"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21" hidden="1" customHeight="1" outlineLevel="1" x14ac:dyDescent="0.35">
      <c r="A104" s="15"/>
      <c r="B104" s="4"/>
      <c r="C104" s="32" t="s">
        <v>178</v>
      </c>
      <c r="D104" s="27">
        <v>0</v>
      </c>
      <c r="E104" s="27">
        <v>0</v>
      </c>
      <c r="F104" s="27">
        <v>0</v>
      </c>
      <c r="G104" s="143">
        <v>0</v>
      </c>
      <c r="H104" s="143"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21" hidden="1" customHeight="1" outlineLevel="1" x14ac:dyDescent="0.35">
      <c r="A105" s="15"/>
      <c r="B105" s="4"/>
      <c r="C105" s="32" t="s">
        <v>263</v>
      </c>
      <c r="D105" s="27">
        <v>0</v>
      </c>
      <c r="E105" s="27">
        <v>0</v>
      </c>
      <c r="F105" s="27">
        <v>0</v>
      </c>
      <c r="G105" s="143">
        <v>0</v>
      </c>
      <c r="H105" s="143"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21" hidden="1" customHeight="1" outlineLevel="1" x14ac:dyDescent="0.35">
      <c r="A106" s="15"/>
      <c r="B106" s="4"/>
      <c r="C106" s="32" t="s">
        <v>39</v>
      </c>
      <c r="D106" s="27">
        <v>0</v>
      </c>
      <c r="E106" s="27">
        <v>0</v>
      </c>
      <c r="F106" s="27">
        <v>0</v>
      </c>
      <c r="G106" s="143">
        <v>0</v>
      </c>
      <c r="H106" s="143"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21" hidden="1" customHeight="1" outlineLevel="1" x14ac:dyDescent="0.35">
      <c r="A107" s="15"/>
      <c r="B107" s="4"/>
      <c r="C107" s="32" t="s">
        <v>103</v>
      </c>
      <c r="D107" s="27">
        <v>0</v>
      </c>
      <c r="E107" s="27">
        <v>0</v>
      </c>
      <c r="F107" s="27">
        <v>0</v>
      </c>
      <c r="G107" s="143">
        <v>0</v>
      </c>
      <c r="H107" s="143"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20.25" hidden="1" customHeight="1" outlineLevel="1" x14ac:dyDescent="0.35">
      <c r="A108" s="15"/>
      <c r="B108" s="4"/>
      <c r="C108" s="32" t="s">
        <v>315</v>
      </c>
      <c r="D108" s="27">
        <v>0</v>
      </c>
      <c r="E108" s="27">
        <v>0</v>
      </c>
      <c r="F108" s="27">
        <v>0</v>
      </c>
      <c r="G108" s="143">
        <v>0</v>
      </c>
      <c r="H108" s="143">
        <v>0</v>
      </c>
      <c r="I108" s="1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"/>
    </row>
    <row r="109" spans="1:33" ht="21" hidden="1" customHeight="1" outlineLevel="1" x14ac:dyDescent="0.35">
      <c r="A109" s="15"/>
      <c r="B109" s="4"/>
      <c r="C109" s="32" t="s">
        <v>203</v>
      </c>
      <c r="D109" s="27">
        <v>0</v>
      </c>
      <c r="E109" s="27">
        <v>0</v>
      </c>
      <c r="F109" s="27">
        <v>0</v>
      </c>
      <c r="G109" s="143">
        <v>0</v>
      </c>
      <c r="H109" s="143">
        <v>0</v>
      </c>
      <c r="I109" s="1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"/>
    </row>
    <row r="110" spans="1:33" ht="21" hidden="1" customHeight="1" outlineLevel="1" x14ac:dyDescent="0.35">
      <c r="A110" s="15"/>
      <c r="B110" s="4"/>
      <c r="C110" s="32" t="s">
        <v>204</v>
      </c>
      <c r="D110" s="27">
        <v>0</v>
      </c>
      <c r="E110" s="27">
        <v>0</v>
      </c>
      <c r="F110" s="27">
        <v>0</v>
      </c>
      <c r="G110" s="143">
        <v>0</v>
      </c>
      <c r="H110" s="143">
        <v>0</v>
      </c>
      <c r="I110" s="1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"/>
    </row>
    <row r="111" spans="1:33" ht="21" hidden="1" customHeight="1" outlineLevel="1" x14ac:dyDescent="0.35">
      <c r="A111" s="15"/>
      <c r="B111" s="4"/>
      <c r="C111" s="32" t="s">
        <v>6</v>
      </c>
      <c r="D111" s="27">
        <v>0</v>
      </c>
      <c r="E111" s="27">
        <v>0</v>
      </c>
      <c r="F111" s="27">
        <v>0</v>
      </c>
      <c r="G111" s="143">
        <v>0</v>
      </c>
      <c r="H111" s="143">
        <v>0</v>
      </c>
      <c r="I111" s="1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"/>
    </row>
    <row r="112" spans="1:33" ht="21" hidden="1" customHeight="1" outlineLevel="1" x14ac:dyDescent="0.35">
      <c r="A112" s="15"/>
      <c r="B112" s="4"/>
      <c r="C112" s="32" t="s">
        <v>179</v>
      </c>
      <c r="D112" s="27">
        <v>0</v>
      </c>
      <c r="E112" s="27">
        <v>0</v>
      </c>
      <c r="F112" s="27">
        <v>0</v>
      </c>
      <c r="G112" s="143">
        <v>0</v>
      </c>
      <c r="H112" s="143">
        <v>0</v>
      </c>
      <c r="I112" s="1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"/>
    </row>
    <row r="113" spans="1:33" ht="21" hidden="1" customHeight="1" outlineLevel="1" x14ac:dyDescent="0.35">
      <c r="A113" s="15"/>
      <c r="B113" s="4"/>
      <c r="C113" s="32" t="s">
        <v>361</v>
      </c>
      <c r="D113" s="27">
        <v>0</v>
      </c>
      <c r="E113" s="27">
        <v>0</v>
      </c>
      <c r="F113" s="27">
        <v>0</v>
      </c>
      <c r="G113" s="143">
        <v>0</v>
      </c>
      <c r="H113" s="143">
        <v>0</v>
      </c>
      <c r="I113" s="1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"/>
    </row>
    <row r="114" spans="1:33" ht="21" hidden="1" customHeight="1" outlineLevel="1" x14ac:dyDescent="0.35">
      <c r="A114" s="15"/>
      <c r="B114" s="4"/>
      <c r="C114" s="32" t="s">
        <v>316</v>
      </c>
      <c r="D114" s="27">
        <v>0</v>
      </c>
      <c r="E114" s="27">
        <v>0</v>
      </c>
      <c r="F114" s="27">
        <v>0</v>
      </c>
      <c r="G114" s="143">
        <v>0</v>
      </c>
      <c r="H114" s="143">
        <v>0</v>
      </c>
      <c r="I114" s="1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"/>
    </row>
    <row r="115" spans="1:33" ht="22.5" hidden="1" customHeight="1" outlineLevel="1" x14ac:dyDescent="0.35">
      <c r="A115" s="15"/>
      <c r="B115" s="4"/>
      <c r="C115" s="4" t="s">
        <v>326</v>
      </c>
      <c r="D115" s="97">
        <f t="shared" ref="D115:F115" si="7">SUM(D103:D114)</f>
        <v>0</v>
      </c>
      <c r="E115" s="97">
        <f t="shared" si="7"/>
        <v>0</v>
      </c>
      <c r="F115" s="97">
        <f t="shared" si="7"/>
        <v>0</v>
      </c>
      <c r="G115" s="158" t="str">
        <f t="shared" ref="G115:H115" si="8">IF($D115&lt;&gt;0,E115/$D115,"")</f>
        <v/>
      </c>
      <c r="H115" s="158" t="str">
        <f t="shared" si="8"/>
        <v/>
      </c>
    </row>
    <row r="116" spans="1:33" ht="22.5" hidden="1" customHeight="1" outlineLevel="1" x14ac:dyDescent="0.35">
      <c r="A116" s="117"/>
      <c r="B116" s="34"/>
      <c r="C116"/>
      <c r="D116"/>
    </row>
    <row r="117" spans="1:33" ht="28.5" hidden="1" customHeight="1" collapsed="1" x14ac:dyDescent="0.35">
      <c r="A117" s="35"/>
      <c r="B117" s="29" t="s">
        <v>7</v>
      </c>
      <c r="C117" s="19"/>
      <c r="D117" s="19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6"/>
    </row>
    <row r="118" spans="1:33" ht="18.5" hidden="1" outlineLevel="2" x14ac:dyDescent="0.45">
      <c r="A118" s="178"/>
      <c r="B118" s="4"/>
      <c r="C118"/>
      <c r="D118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</row>
    <row r="119" spans="1:33" ht="25" hidden="1" customHeight="1" outlineLevel="2" x14ac:dyDescent="0.45">
      <c r="A119" s="178"/>
      <c r="B119" s="207" t="s">
        <v>233</v>
      </c>
      <c r="C119"/>
      <c r="D119" s="8" t="s">
        <v>136</v>
      </c>
      <c r="E119" s="131" t="e">
        <f>INDEX(#REF!,MATCH('Input Data'!D119,FeedingSystem,0))</f>
        <v>#REF!</v>
      </c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</row>
    <row r="120" spans="1:33" ht="38.25" hidden="1" customHeight="1" outlineLevel="1" x14ac:dyDescent="0.45">
      <c r="A120" s="126"/>
      <c r="B120" s="4"/>
      <c r="D120" s="12" t="s">
        <v>43</v>
      </c>
      <c r="E120" s="12" t="s">
        <v>187</v>
      </c>
      <c r="F120" s="12" t="s">
        <v>296</v>
      </c>
      <c r="G120" s="12" t="s">
        <v>388</v>
      </c>
      <c r="H120" s="12" t="s">
        <v>79</v>
      </c>
      <c r="I120" s="12" t="s">
        <v>188</v>
      </c>
      <c r="J120" s="12" t="s">
        <v>297</v>
      </c>
      <c r="K120" s="12" t="s">
        <v>389</v>
      </c>
      <c r="L120" s="12" t="s">
        <v>80</v>
      </c>
      <c r="M120" s="12" t="s">
        <v>298</v>
      </c>
      <c r="N120" s="12" t="s">
        <v>390</v>
      </c>
      <c r="O120" s="12" t="s">
        <v>81</v>
      </c>
      <c r="P120" s="12" t="s">
        <v>189</v>
      </c>
      <c r="Q120" s="12" t="s">
        <v>320</v>
      </c>
      <c r="R120" s="12" t="s">
        <v>417</v>
      </c>
      <c r="S120" s="12" t="s">
        <v>118</v>
      </c>
      <c r="T120" s="12" t="s">
        <v>216</v>
      </c>
      <c r="U120" s="12" t="s">
        <v>331</v>
      </c>
      <c r="V120" s="12" t="s">
        <v>418</v>
      </c>
      <c r="W120" s="12" t="s">
        <v>192</v>
      </c>
      <c r="X120" s="12" t="s">
        <v>302</v>
      </c>
      <c r="Y120" s="12" t="s">
        <v>392</v>
      </c>
      <c r="Z120" s="12" t="s">
        <v>119</v>
      </c>
      <c r="AA120" s="12" t="s">
        <v>217</v>
      </c>
      <c r="AB120" s="12" t="s">
        <v>332</v>
      </c>
      <c r="AC120" s="12" t="s">
        <v>419</v>
      </c>
      <c r="AD120" s="12" t="s">
        <v>120</v>
      </c>
      <c r="AE120" s="12" t="s">
        <v>218</v>
      </c>
      <c r="AF120" s="12" t="s">
        <v>333</v>
      </c>
      <c r="AG120" s="12" t="s">
        <v>87</v>
      </c>
    </row>
    <row r="121" spans="1:33" ht="24" hidden="1" customHeight="1" outlineLevel="1" x14ac:dyDescent="0.45">
      <c r="A121" s="126"/>
      <c r="B121" s="4" t="s">
        <v>221</v>
      </c>
      <c r="D121" s="8" t="s">
        <v>124</v>
      </c>
      <c r="E121" s="8" t="s">
        <v>373</v>
      </c>
      <c r="F121" s="8" t="s">
        <v>124</v>
      </c>
      <c r="G121" s="8" t="s">
        <v>124</v>
      </c>
      <c r="H121" s="8" t="s">
        <v>124</v>
      </c>
      <c r="I121" s="8" t="s">
        <v>373</v>
      </c>
      <c r="J121" s="8" t="s">
        <v>373</v>
      </c>
      <c r="K121" s="8" t="s">
        <v>373</v>
      </c>
      <c r="L121" s="8" t="s">
        <v>373</v>
      </c>
      <c r="M121" s="8" t="s">
        <v>373</v>
      </c>
      <c r="N121" s="8" t="s">
        <v>373</v>
      </c>
      <c r="O121" s="8" t="s">
        <v>373</v>
      </c>
      <c r="P121" s="8" t="s">
        <v>373</v>
      </c>
      <c r="Q121" s="8" t="s">
        <v>373</v>
      </c>
      <c r="R121" s="8" t="s">
        <v>373</v>
      </c>
      <c r="S121" s="8" t="s">
        <v>373</v>
      </c>
      <c r="T121" s="8" t="s">
        <v>373</v>
      </c>
      <c r="U121" s="8" t="s">
        <v>373</v>
      </c>
      <c r="V121" s="8" t="s">
        <v>373</v>
      </c>
      <c r="W121" s="8" t="s">
        <v>373</v>
      </c>
      <c r="X121" s="8" t="s">
        <v>373</v>
      </c>
      <c r="Y121" s="8" t="s">
        <v>373</v>
      </c>
      <c r="Z121" s="8" t="s">
        <v>373</v>
      </c>
      <c r="AA121" s="8" t="s">
        <v>373</v>
      </c>
      <c r="AB121" s="8" t="s">
        <v>373</v>
      </c>
      <c r="AC121" s="8" t="s">
        <v>373</v>
      </c>
      <c r="AD121" s="8" t="s">
        <v>373</v>
      </c>
      <c r="AE121" s="8" t="s">
        <v>373</v>
      </c>
      <c r="AF121" s="8" t="s">
        <v>373</v>
      </c>
      <c r="AG121" s="8" t="s">
        <v>373</v>
      </c>
    </row>
    <row r="122" spans="1:33" ht="22.5" hidden="1" customHeight="1" outlineLevel="1" x14ac:dyDescent="0.35">
      <c r="A122" s="15"/>
      <c r="B122" s="4" t="s">
        <v>268</v>
      </c>
      <c r="D122" s="8" t="s">
        <v>387</v>
      </c>
      <c r="E122" s="8" t="s">
        <v>386</v>
      </c>
      <c r="F122" s="8" t="s">
        <v>387</v>
      </c>
      <c r="G122" s="8" t="s">
        <v>161</v>
      </c>
      <c r="H122" s="8" t="s">
        <v>161</v>
      </c>
      <c r="I122" s="8" t="s">
        <v>386</v>
      </c>
      <c r="J122" s="8" t="s">
        <v>386</v>
      </c>
      <c r="K122" s="8" t="s">
        <v>386</v>
      </c>
      <c r="L122" s="8" t="s">
        <v>386</v>
      </c>
      <c r="M122" s="8" t="s">
        <v>386</v>
      </c>
      <c r="N122" s="8" t="s">
        <v>386</v>
      </c>
      <c r="O122" s="8" t="s">
        <v>386</v>
      </c>
      <c r="P122" s="8" t="s">
        <v>386</v>
      </c>
      <c r="Q122" s="8" t="s">
        <v>386</v>
      </c>
      <c r="R122" s="8" t="s">
        <v>386</v>
      </c>
      <c r="S122" s="8" t="s">
        <v>386</v>
      </c>
      <c r="T122" s="8" t="s">
        <v>386</v>
      </c>
      <c r="U122" s="8" t="s">
        <v>386</v>
      </c>
      <c r="V122" s="8" t="s">
        <v>386</v>
      </c>
      <c r="W122" s="8" t="s">
        <v>386</v>
      </c>
      <c r="X122" s="8" t="s">
        <v>386</v>
      </c>
      <c r="Y122" s="8" t="s">
        <v>386</v>
      </c>
      <c r="Z122" s="8" t="s">
        <v>386</v>
      </c>
      <c r="AA122" s="8" t="s">
        <v>386</v>
      </c>
      <c r="AB122" s="8" t="s">
        <v>386</v>
      </c>
      <c r="AC122" s="8" t="s">
        <v>386</v>
      </c>
      <c r="AD122" s="8" t="s">
        <v>386</v>
      </c>
      <c r="AE122" s="8" t="s">
        <v>386</v>
      </c>
      <c r="AF122" s="8" t="s">
        <v>386</v>
      </c>
      <c r="AG122" s="8" t="s">
        <v>386</v>
      </c>
    </row>
    <row r="123" spans="1:33" ht="22.5" hidden="1" customHeight="1" outlineLevel="1" x14ac:dyDescent="0.35">
      <c r="A123" s="15"/>
      <c r="B123" s="4" t="s">
        <v>210</v>
      </c>
      <c r="D123" s="8" t="s">
        <v>101</v>
      </c>
      <c r="E123" s="8" t="s">
        <v>261</v>
      </c>
      <c r="F123" s="8" t="s">
        <v>261</v>
      </c>
      <c r="G123" s="8" t="s">
        <v>261</v>
      </c>
      <c r="H123" s="8" t="s">
        <v>261</v>
      </c>
      <c r="I123" s="8" t="s">
        <v>261</v>
      </c>
      <c r="J123" s="8" t="s">
        <v>261</v>
      </c>
      <c r="K123" s="8" t="s">
        <v>261</v>
      </c>
      <c r="L123" s="8" t="s">
        <v>261</v>
      </c>
      <c r="M123" s="8" t="s">
        <v>261</v>
      </c>
      <c r="N123" s="8" t="s">
        <v>261</v>
      </c>
      <c r="O123" s="8" t="s">
        <v>261</v>
      </c>
      <c r="P123" s="8" t="s">
        <v>261</v>
      </c>
      <c r="Q123" s="8" t="s">
        <v>261</v>
      </c>
      <c r="R123" s="8" t="s">
        <v>261</v>
      </c>
      <c r="S123" s="8" t="s">
        <v>261</v>
      </c>
      <c r="T123" s="8" t="s">
        <v>261</v>
      </c>
      <c r="U123" s="8" t="s">
        <v>261</v>
      </c>
      <c r="V123" s="8" t="s">
        <v>261</v>
      </c>
      <c r="W123" s="8" t="s">
        <v>261</v>
      </c>
      <c r="X123" s="8" t="s">
        <v>261</v>
      </c>
      <c r="Y123" s="8" t="s">
        <v>261</v>
      </c>
      <c r="Z123" s="8" t="s">
        <v>261</v>
      </c>
      <c r="AA123" s="8" t="s">
        <v>261</v>
      </c>
      <c r="AB123" s="8" t="s">
        <v>261</v>
      </c>
      <c r="AC123" s="8" t="s">
        <v>261</v>
      </c>
      <c r="AD123" s="8" t="s">
        <v>261</v>
      </c>
      <c r="AE123" s="8" t="s">
        <v>261</v>
      </c>
      <c r="AF123" s="8" t="s">
        <v>261</v>
      </c>
      <c r="AG123" s="8" t="s">
        <v>261</v>
      </c>
    </row>
    <row r="124" spans="1:33" ht="22.5" hidden="1" customHeight="1" outlineLevel="1" x14ac:dyDescent="0.35">
      <c r="A124" s="15"/>
      <c r="B124" s="4" t="s">
        <v>44</v>
      </c>
      <c r="C124" s="4" t="s">
        <v>258</v>
      </c>
      <c r="D124" s="8" t="s">
        <v>74</v>
      </c>
      <c r="E124" s="8" t="s">
        <v>100</v>
      </c>
      <c r="F124" s="8" t="s">
        <v>100</v>
      </c>
      <c r="G124" s="8" t="s">
        <v>100</v>
      </c>
      <c r="H124" s="8" t="s">
        <v>100</v>
      </c>
      <c r="I124" s="8" t="s">
        <v>100</v>
      </c>
      <c r="J124" s="8" t="s">
        <v>100</v>
      </c>
      <c r="K124" s="8" t="s">
        <v>100</v>
      </c>
      <c r="L124" s="8" t="s">
        <v>100</v>
      </c>
      <c r="M124" s="8" t="s">
        <v>100</v>
      </c>
      <c r="N124" s="8" t="s">
        <v>100</v>
      </c>
      <c r="O124" s="8" t="s">
        <v>100</v>
      </c>
      <c r="P124" s="8" t="s">
        <v>100</v>
      </c>
      <c r="Q124" s="8" t="s">
        <v>100</v>
      </c>
      <c r="R124" s="8" t="s">
        <v>100</v>
      </c>
      <c r="S124" s="8" t="s">
        <v>100</v>
      </c>
      <c r="T124" s="8" t="s">
        <v>100</v>
      </c>
      <c r="U124" s="8" t="s">
        <v>100</v>
      </c>
      <c r="V124" s="8" t="s">
        <v>100</v>
      </c>
      <c r="W124" s="8" t="s">
        <v>100</v>
      </c>
      <c r="X124" s="8" t="s">
        <v>100</v>
      </c>
      <c r="Y124" s="8" t="s">
        <v>100</v>
      </c>
      <c r="Z124" s="8" t="s">
        <v>100</v>
      </c>
      <c r="AA124" s="8" t="s">
        <v>100</v>
      </c>
      <c r="AB124" s="8" t="s">
        <v>100</v>
      </c>
      <c r="AC124" s="8" t="s">
        <v>100</v>
      </c>
      <c r="AD124" s="8" t="s">
        <v>100</v>
      </c>
      <c r="AE124" s="8" t="s">
        <v>100</v>
      </c>
      <c r="AF124" s="8" t="s">
        <v>100</v>
      </c>
      <c r="AG124" s="8" t="s">
        <v>100</v>
      </c>
    </row>
    <row r="125" spans="1:33" ht="22.5" hidden="1" customHeight="1" outlineLevel="1" x14ac:dyDescent="0.35">
      <c r="A125" s="15"/>
      <c r="B125" s="4" t="s">
        <v>114</v>
      </c>
      <c r="C125" s="4" t="s">
        <v>411</v>
      </c>
      <c r="D125" s="11">
        <v>0.4</v>
      </c>
      <c r="E125" s="11" t="e">
        <f t="shared" ref="E125:AG128" si="9">E138</f>
        <v>#REF!</v>
      </c>
      <c r="F125" s="11" t="e">
        <f t="shared" si="9"/>
        <v>#REF!</v>
      </c>
      <c r="G125" s="11" t="e">
        <f t="shared" si="9"/>
        <v>#REF!</v>
      </c>
      <c r="H125" s="11" t="e">
        <f t="shared" si="9"/>
        <v>#REF!</v>
      </c>
      <c r="I125" s="11" t="e">
        <f t="shared" si="9"/>
        <v>#REF!</v>
      </c>
      <c r="J125" s="11" t="e">
        <f t="shared" si="9"/>
        <v>#REF!</v>
      </c>
      <c r="K125" s="11" t="e">
        <f t="shared" si="9"/>
        <v>#REF!</v>
      </c>
      <c r="L125" s="11" t="e">
        <f t="shared" si="9"/>
        <v>#REF!</v>
      </c>
      <c r="M125" s="11" t="e">
        <f t="shared" si="9"/>
        <v>#REF!</v>
      </c>
      <c r="N125" s="11" t="e">
        <f t="shared" si="9"/>
        <v>#REF!</v>
      </c>
      <c r="O125" s="11" t="e">
        <f t="shared" si="9"/>
        <v>#REF!</v>
      </c>
      <c r="P125" s="11" t="e">
        <f t="shared" si="9"/>
        <v>#REF!</v>
      </c>
      <c r="Q125" s="11" t="e">
        <f t="shared" si="9"/>
        <v>#REF!</v>
      </c>
      <c r="R125" s="11" t="e">
        <f t="shared" si="9"/>
        <v>#REF!</v>
      </c>
      <c r="S125" s="11" t="e">
        <f t="shared" si="9"/>
        <v>#REF!</v>
      </c>
      <c r="T125" s="11" t="e">
        <f t="shared" si="9"/>
        <v>#REF!</v>
      </c>
      <c r="U125" s="11" t="e">
        <f t="shared" si="9"/>
        <v>#REF!</v>
      </c>
      <c r="V125" s="11" t="e">
        <f t="shared" si="9"/>
        <v>#REF!</v>
      </c>
      <c r="W125" s="11" t="e">
        <f t="shared" si="9"/>
        <v>#REF!</v>
      </c>
      <c r="X125" s="11" t="e">
        <f t="shared" si="9"/>
        <v>#REF!</v>
      </c>
      <c r="Y125" s="11" t="e">
        <f t="shared" si="9"/>
        <v>#REF!</v>
      </c>
      <c r="Z125" s="11" t="e">
        <f t="shared" si="9"/>
        <v>#REF!</v>
      </c>
      <c r="AA125" s="11" t="e">
        <f t="shared" si="9"/>
        <v>#REF!</v>
      </c>
      <c r="AB125" s="11" t="e">
        <f t="shared" si="9"/>
        <v>#REF!</v>
      </c>
      <c r="AC125" s="11" t="e">
        <f t="shared" si="9"/>
        <v>#REF!</v>
      </c>
      <c r="AD125" s="11" t="e">
        <f t="shared" si="9"/>
        <v>#REF!</v>
      </c>
      <c r="AE125" s="11" t="e">
        <f t="shared" si="9"/>
        <v>#REF!</v>
      </c>
      <c r="AF125" s="11" t="e">
        <f t="shared" si="9"/>
        <v>#REF!</v>
      </c>
      <c r="AG125" s="11" t="e">
        <f t="shared" si="9"/>
        <v>#REF!</v>
      </c>
    </row>
    <row r="126" spans="1:33" ht="22.5" hidden="1" customHeight="1" outlineLevel="1" x14ac:dyDescent="0.35">
      <c r="A126" s="15"/>
      <c r="B126" s="4" t="s">
        <v>212</v>
      </c>
      <c r="C126" s="4" t="s">
        <v>241</v>
      </c>
      <c r="D126" s="11">
        <v>0.13</v>
      </c>
      <c r="E126" s="11" t="e">
        <f t="shared" si="9"/>
        <v>#REF!</v>
      </c>
      <c r="F126" s="11" t="e">
        <f t="shared" si="9"/>
        <v>#REF!</v>
      </c>
      <c r="G126" s="11" t="e">
        <f t="shared" si="9"/>
        <v>#REF!</v>
      </c>
      <c r="H126" s="11" t="e">
        <f t="shared" si="9"/>
        <v>#REF!</v>
      </c>
      <c r="I126" s="11" t="e">
        <f t="shared" si="9"/>
        <v>#REF!</v>
      </c>
      <c r="J126" s="11" t="e">
        <f t="shared" si="9"/>
        <v>#REF!</v>
      </c>
      <c r="K126" s="11" t="e">
        <f t="shared" si="9"/>
        <v>#REF!</v>
      </c>
      <c r="L126" s="11" t="e">
        <f t="shared" si="9"/>
        <v>#REF!</v>
      </c>
      <c r="M126" s="11" t="e">
        <f t="shared" si="9"/>
        <v>#REF!</v>
      </c>
      <c r="N126" s="11" t="e">
        <f t="shared" si="9"/>
        <v>#REF!</v>
      </c>
      <c r="O126" s="11" t="e">
        <f t="shared" si="9"/>
        <v>#REF!</v>
      </c>
      <c r="P126" s="11" t="e">
        <f t="shared" si="9"/>
        <v>#REF!</v>
      </c>
      <c r="Q126" s="11" t="e">
        <f t="shared" si="9"/>
        <v>#REF!</v>
      </c>
      <c r="R126" s="11" t="e">
        <f t="shared" si="9"/>
        <v>#REF!</v>
      </c>
      <c r="S126" s="11" t="e">
        <f t="shared" si="9"/>
        <v>#REF!</v>
      </c>
      <c r="T126" s="11" t="e">
        <f t="shared" si="9"/>
        <v>#REF!</v>
      </c>
      <c r="U126" s="11" t="e">
        <f t="shared" si="9"/>
        <v>#REF!</v>
      </c>
      <c r="V126" s="11" t="e">
        <f t="shared" si="9"/>
        <v>#REF!</v>
      </c>
      <c r="W126" s="11" t="e">
        <f t="shared" si="9"/>
        <v>#REF!</v>
      </c>
      <c r="X126" s="11" t="e">
        <f t="shared" si="9"/>
        <v>#REF!</v>
      </c>
      <c r="Y126" s="11" t="e">
        <f t="shared" si="9"/>
        <v>#REF!</v>
      </c>
      <c r="Z126" s="11" t="e">
        <f t="shared" si="9"/>
        <v>#REF!</v>
      </c>
      <c r="AA126" s="11" t="e">
        <f t="shared" si="9"/>
        <v>#REF!</v>
      </c>
      <c r="AB126" s="11" t="e">
        <f t="shared" si="9"/>
        <v>#REF!</v>
      </c>
      <c r="AC126" s="11" t="e">
        <f t="shared" si="9"/>
        <v>#REF!</v>
      </c>
      <c r="AD126" s="11" t="e">
        <f t="shared" si="9"/>
        <v>#REF!</v>
      </c>
      <c r="AE126" s="11" t="e">
        <f t="shared" si="9"/>
        <v>#REF!</v>
      </c>
      <c r="AF126" s="11" t="e">
        <f t="shared" si="9"/>
        <v>#REF!</v>
      </c>
      <c r="AG126" s="11" t="e">
        <f t="shared" si="9"/>
        <v>#REF!</v>
      </c>
    </row>
    <row r="127" spans="1:33" ht="22.5" hidden="1" customHeight="1" outlineLevel="1" x14ac:dyDescent="0.35">
      <c r="A127" s="15"/>
      <c r="B127" s="4" t="s">
        <v>213</v>
      </c>
      <c r="C127" s="4" t="s">
        <v>15</v>
      </c>
      <c r="D127" s="21">
        <v>10</v>
      </c>
      <c r="E127" s="21" t="e">
        <f t="shared" si="9"/>
        <v>#REF!</v>
      </c>
      <c r="F127" s="21" t="e">
        <f t="shared" si="9"/>
        <v>#REF!</v>
      </c>
      <c r="G127" s="21" t="e">
        <f t="shared" si="9"/>
        <v>#REF!</v>
      </c>
      <c r="H127" s="21" t="e">
        <f t="shared" si="9"/>
        <v>#REF!</v>
      </c>
      <c r="I127" s="21" t="e">
        <f t="shared" si="9"/>
        <v>#REF!</v>
      </c>
      <c r="J127" s="21" t="e">
        <f t="shared" si="9"/>
        <v>#REF!</v>
      </c>
      <c r="K127" s="21" t="e">
        <f t="shared" si="9"/>
        <v>#REF!</v>
      </c>
      <c r="L127" s="21" t="e">
        <f t="shared" si="9"/>
        <v>#REF!</v>
      </c>
      <c r="M127" s="21" t="e">
        <f t="shared" si="9"/>
        <v>#REF!</v>
      </c>
      <c r="N127" s="21" t="e">
        <f t="shared" si="9"/>
        <v>#REF!</v>
      </c>
      <c r="O127" s="21" t="e">
        <f t="shared" si="9"/>
        <v>#REF!</v>
      </c>
      <c r="P127" s="21" t="e">
        <f t="shared" si="9"/>
        <v>#REF!</v>
      </c>
      <c r="Q127" s="21" t="e">
        <f t="shared" si="9"/>
        <v>#REF!</v>
      </c>
      <c r="R127" s="21" t="e">
        <f t="shared" si="9"/>
        <v>#REF!</v>
      </c>
      <c r="S127" s="21" t="e">
        <f t="shared" si="9"/>
        <v>#REF!</v>
      </c>
      <c r="T127" s="21" t="e">
        <f t="shared" si="9"/>
        <v>#REF!</v>
      </c>
      <c r="U127" s="21" t="e">
        <f t="shared" si="9"/>
        <v>#REF!</v>
      </c>
      <c r="V127" s="21" t="e">
        <f t="shared" si="9"/>
        <v>#REF!</v>
      </c>
      <c r="W127" s="21" t="e">
        <f t="shared" si="9"/>
        <v>#REF!</v>
      </c>
      <c r="X127" s="21" t="e">
        <f t="shared" si="9"/>
        <v>#REF!</v>
      </c>
      <c r="Y127" s="21" t="e">
        <f t="shared" si="9"/>
        <v>#REF!</v>
      </c>
      <c r="Z127" s="21" t="e">
        <f t="shared" si="9"/>
        <v>#REF!</v>
      </c>
      <c r="AA127" s="21" t="e">
        <f t="shared" si="9"/>
        <v>#REF!</v>
      </c>
      <c r="AB127" s="21" t="e">
        <f t="shared" si="9"/>
        <v>#REF!</v>
      </c>
      <c r="AC127" s="21" t="e">
        <f t="shared" si="9"/>
        <v>#REF!</v>
      </c>
      <c r="AD127" s="21" t="e">
        <f t="shared" si="9"/>
        <v>#REF!</v>
      </c>
      <c r="AE127" s="21" t="e">
        <f t="shared" si="9"/>
        <v>#REF!</v>
      </c>
      <c r="AF127" s="21" t="e">
        <f t="shared" si="9"/>
        <v>#REF!</v>
      </c>
      <c r="AG127" s="21" t="e">
        <f t="shared" si="9"/>
        <v>#REF!</v>
      </c>
    </row>
    <row r="128" spans="1:33" ht="22.5" hidden="1" customHeight="1" outlineLevel="1" x14ac:dyDescent="0.35">
      <c r="A128" s="15"/>
      <c r="B128" s="4" t="s">
        <v>146</v>
      </c>
      <c r="C128" s="4" t="s">
        <v>109</v>
      </c>
      <c r="D128" s="21">
        <v>240</v>
      </c>
      <c r="E128" s="21" t="e">
        <f t="shared" si="9"/>
        <v>#REF!</v>
      </c>
      <c r="F128" s="21" t="e">
        <f t="shared" si="9"/>
        <v>#REF!</v>
      </c>
      <c r="G128" s="21" t="e">
        <f t="shared" si="9"/>
        <v>#REF!</v>
      </c>
      <c r="H128" s="21" t="e">
        <f t="shared" si="9"/>
        <v>#REF!</v>
      </c>
      <c r="I128" s="21" t="e">
        <f t="shared" si="9"/>
        <v>#REF!</v>
      </c>
      <c r="J128" s="21" t="e">
        <f t="shared" si="9"/>
        <v>#REF!</v>
      </c>
      <c r="K128" s="21" t="e">
        <f t="shared" si="9"/>
        <v>#REF!</v>
      </c>
      <c r="L128" s="21" t="e">
        <f t="shared" si="9"/>
        <v>#REF!</v>
      </c>
      <c r="M128" s="21" t="e">
        <f t="shared" si="9"/>
        <v>#REF!</v>
      </c>
      <c r="N128" s="21" t="e">
        <f t="shared" si="9"/>
        <v>#REF!</v>
      </c>
      <c r="O128" s="21" t="e">
        <f t="shared" si="9"/>
        <v>#REF!</v>
      </c>
      <c r="P128" s="21" t="e">
        <f t="shared" si="9"/>
        <v>#REF!</v>
      </c>
      <c r="Q128" s="21" t="e">
        <f t="shared" si="9"/>
        <v>#REF!</v>
      </c>
      <c r="R128" s="21" t="e">
        <f t="shared" si="9"/>
        <v>#REF!</v>
      </c>
      <c r="S128" s="21" t="e">
        <f t="shared" si="9"/>
        <v>#REF!</v>
      </c>
      <c r="T128" s="21" t="e">
        <f t="shared" si="9"/>
        <v>#REF!</v>
      </c>
      <c r="U128" s="21" t="e">
        <f t="shared" si="9"/>
        <v>#REF!</v>
      </c>
      <c r="V128" s="21" t="e">
        <f t="shared" si="9"/>
        <v>#REF!</v>
      </c>
      <c r="W128" s="21" t="e">
        <f t="shared" si="9"/>
        <v>#REF!</v>
      </c>
      <c r="X128" s="21" t="e">
        <f t="shared" si="9"/>
        <v>#REF!</v>
      </c>
      <c r="Y128" s="21" t="e">
        <f t="shared" si="9"/>
        <v>#REF!</v>
      </c>
      <c r="Z128" s="21" t="e">
        <f t="shared" si="9"/>
        <v>#REF!</v>
      </c>
      <c r="AA128" s="21" t="e">
        <f t="shared" si="9"/>
        <v>#REF!</v>
      </c>
      <c r="AB128" s="21" t="e">
        <f t="shared" si="9"/>
        <v>#REF!</v>
      </c>
      <c r="AC128" s="21" t="e">
        <f t="shared" si="9"/>
        <v>#REF!</v>
      </c>
      <c r="AD128" s="21" t="e">
        <f t="shared" si="9"/>
        <v>#REF!</v>
      </c>
      <c r="AE128" s="21" t="e">
        <f t="shared" si="9"/>
        <v>#REF!</v>
      </c>
      <c r="AF128" s="21" t="e">
        <f t="shared" si="9"/>
        <v>#REF!</v>
      </c>
      <c r="AG128" s="21" t="e">
        <f t="shared" si="9"/>
        <v>#REF!</v>
      </c>
    </row>
    <row r="129" spans="1:33" ht="22.5" hidden="1" customHeight="1" outlineLevel="1" x14ac:dyDescent="0.35">
      <c r="A129" s="15"/>
      <c r="B129" s="4" t="s">
        <v>107</v>
      </c>
      <c r="C129" s="4" t="s">
        <v>321</v>
      </c>
      <c r="D129" s="23">
        <v>0</v>
      </c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1:33" ht="22.5" hidden="1" customHeight="1" outlineLevel="1" x14ac:dyDescent="0.35">
      <c r="A130" s="15"/>
      <c r="B130" s="4" t="s">
        <v>293</v>
      </c>
      <c r="C130" s="4" t="s">
        <v>321</v>
      </c>
      <c r="D130" s="23">
        <v>0</v>
      </c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1:33" ht="22.5" hidden="1" customHeight="1" outlineLevel="1" x14ac:dyDescent="0.35">
      <c r="A131" s="15"/>
      <c r="B131" s="4" t="s">
        <v>42</v>
      </c>
      <c r="C131" s="4" t="s">
        <v>321</v>
      </c>
      <c r="D131" s="23">
        <v>37.0833333333333</v>
      </c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1:33" ht="22.5" hidden="1" customHeight="1" outlineLevel="1" x14ac:dyDescent="0.35">
      <c r="A132" s="15"/>
      <c r="B132" s="4" t="s">
        <v>108</v>
      </c>
      <c r="C132" s="4" t="s">
        <v>321</v>
      </c>
      <c r="D132" s="23">
        <v>0</v>
      </c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1:33" ht="22.5" hidden="1" customHeight="1" outlineLevel="1" x14ac:dyDescent="0.35">
      <c r="A133" s="15"/>
      <c r="B133" s="4" t="s">
        <v>141</v>
      </c>
      <c r="C133" s="4" t="s">
        <v>321</v>
      </c>
      <c r="D133" s="23">
        <v>0</v>
      </c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1:33" ht="22.5" hidden="1" customHeight="1" outlineLevel="1" x14ac:dyDescent="0.35">
      <c r="A134" s="15"/>
      <c r="B134" s="4" t="s">
        <v>294</v>
      </c>
      <c r="C134" s="4" t="s">
        <v>321</v>
      </c>
      <c r="D134" s="23">
        <v>0</v>
      </c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1:33" ht="22.5" hidden="1" customHeight="1" outlineLevel="1" x14ac:dyDescent="0.35">
      <c r="A135" s="15"/>
      <c r="B135" s="4" t="s">
        <v>319</v>
      </c>
      <c r="C135" s="4" t="s">
        <v>321</v>
      </c>
      <c r="D135" s="23">
        <v>0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1:33" ht="22.5" hidden="1" customHeight="1" outlineLevel="1" x14ac:dyDescent="0.35">
      <c r="A136" s="15"/>
      <c r="B136" s="4" t="s">
        <v>22</v>
      </c>
      <c r="C136" s="4" t="s">
        <v>321</v>
      </c>
      <c r="D136" s="25">
        <f t="shared" ref="D136:AG136" si="10">D129+D130+D134+D135-D131-D132-D133</f>
        <v>-37.0833333333333</v>
      </c>
      <c r="E136" s="25">
        <f t="shared" si="10"/>
        <v>0</v>
      </c>
      <c r="F136" s="25">
        <f t="shared" si="10"/>
        <v>0</v>
      </c>
      <c r="G136" s="25">
        <f t="shared" si="10"/>
        <v>0</v>
      </c>
      <c r="H136" s="25">
        <f t="shared" si="10"/>
        <v>0</v>
      </c>
      <c r="I136" s="25">
        <f t="shared" si="10"/>
        <v>0</v>
      </c>
      <c r="J136" s="25">
        <f t="shared" si="10"/>
        <v>0</v>
      </c>
      <c r="K136" s="25">
        <f t="shared" si="10"/>
        <v>0</v>
      </c>
      <c r="L136" s="25">
        <f t="shared" si="10"/>
        <v>0</v>
      </c>
      <c r="M136" s="25">
        <f t="shared" si="10"/>
        <v>0</v>
      </c>
      <c r="N136" s="25">
        <f t="shared" si="10"/>
        <v>0</v>
      </c>
      <c r="O136" s="25">
        <f t="shared" si="10"/>
        <v>0</v>
      </c>
      <c r="P136" s="25">
        <f t="shared" si="10"/>
        <v>0</v>
      </c>
      <c r="Q136" s="25">
        <f t="shared" si="10"/>
        <v>0</v>
      </c>
      <c r="R136" s="25">
        <f t="shared" si="10"/>
        <v>0</v>
      </c>
      <c r="S136" s="25">
        <f t="shared" si="10"/>
        <v>0</v>
      </c>
      <c r="T136" s="25">
        <f t="shared" si="10"/>
        <v>0</v>
      </c>
      <c r="U136" s="25">
        <f t="shared" si="10"/>
        <v>0</v>
      </c>
      <c r="V136" s="25">
        <f t="shared" si="10"/>
        <v>0</v>
      </c>
      <c r="W136" s="25">
        <f t="shared" si="10"/>
        <v>0</v>
      </c>
      <c r="X136" s="25">
        <f t="shared" si="10"/>
        <v>0</v>
      </c>
      <c r="Y136" s="25">
        <f t="shared" si="10"/>
        <v>0</v>
      </c>
      <c r="Z136" s="25">
        <f t="shared" si="10"/>
        <v>0</v>
      </c>
      <c r="AA136" s="25">
        <f t="shared" si="10"/>
        <v>0</v>
      </c>
      <c r="AB136" s="25">
        <f t="shared" si="10"/>
        <v>0</v>
      </c>
      <c r="AC136" s="25">
        <f t="shared" si="10"/>
        <v>0</v>
      </c>
      <c r="AD136" s="25">
        <f t="shared" si="10"/>
        <v>0</v>
      </c>
      <c r="AE136" s="25">
        <f t="shared" si="10"/>
        <v>0</v>
      </c>
      <c r="AF136" s="25">
        <f t="shared" si="10"/>
        <v>0</v>
      </c>
      <c r="AG136" s="25">
        <f t="shared" si="10"/>
        <v>0</v>
      </c>
    </row>
    <row r="137" spans="1:33" ht="34.5" hidden="1" customHeight="1" outlineLevel="1" x14ac:dyDescent="0.35">
      <c r="A137" s="15"/>
      <c r="B137" s="31" t="s">
        <v>371</v>
      </c>
      <c r="D137" s="104" t="s">
        <v>330</v>
      </c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</row>
    <row r="138" spans="1:33" ht="22.5" hidden="1" customHeight="1" outlineLevel="1" x14ac:dyDescent="0.35">
      <c r="A138" s="15"/>
      <c r="B138" s="4" t="s">
        <v>295</v>
      </c>
      <c r="C138" s="4" t="s">
        <v>411</v>
      </c>
      <c r="D138" s="24" t="e">
        <f>INDEX(#REF!,MATCH('Input Data'!D$123,#REF!,0))</f>
        <v>#REF!</v>
      </c>
      <c r="E138" s="24" t="e">
        <f>INDEX(#REF!,MATCH('Input Data'!E$123,#REF!,0))</f>
        <v>#REF!</v>
      </c>
      <c r="F138" s="24" t="e">
        <f>INDEX(#REF!,MATCH('Input Data'!F$123,#REF!,0))</f>
        <v>#REF!</v>
      </c>
      <c r="G138" s="24" t="e">
        <f>INDEX(#REF!,MATCH('Input Data'!G$123,#REF!,0))</f>
        <v>#REF!</v>
      </c>
      <c r="H138" s="24" t="e">
        <f>INDEX(#REF!,MATCH('Input Data'!H$123,#REF!,0))</f>
        <v>#REF!</v>
      </c>
      <c r="I138" s="24" t="e">
        <f>INDEX(#REF!,MATCH('Input Data'!I$123,#REF!,0))</f>
        <v>#REF!</v>
      </c>
      <c r="J138" s="24" t="e">
        <f>INDEX(#REF!,MATCH('Input Data'!J$123,#REF!,0))</f>
        <v>#REF!</v>
      </c>
      <c r="K138" s="24" t="e">
        <f>INDEX(#REF!,MATCH('Input Data'!K$123,#REF!,0))</f>
        <v>#REF!</v>
      </c>
      <c r="L138" s="24" t="e">
        <f>INDEX(#REF!,MATCH('Input Data'!L$123,#REF!,0))</f>
        <v>#REF!</v>
      </c>
      <c r="M138" s="24" t="e">
        <f>INDEX(#REF!,MATCH('Input Data'!M$123,#REF!,0))</f>
        <v>#REF!</v>
      </c>
      <c r="N138" s="24" t="e">
        <f>INDEX(#REF!,MATCH('Input Data'!N$123,#REF!,0))</f>
        <v>#REF!</v>
      </c>
      <c r="O138" s="24" t="e">
        <f>INDEX(#REF!,MATCH('Input Data'!O$123,#REF!,0))</f>
        <v>#REF!</v>
      </c>
      <c r="P138" s="24" t="e">
        <f>INDEX(#REF!,MATCH('Input Data'!P$123,#REF!,0))</f>
        <v>#REF!</v>
      </c>
      <c r="Q138" s="24" t="e">
        <f>INDEX(#REF!,MATCH('Input Data'!Q$123,#REF!,0))</f>
        <v>#REF!</v>
      </c>
      <c r="R138" s="24" t="e">
        <f>INDEX(#REF!,MATCH('Input Data'!R$123,#REF!,0))</f>
        <v>#REF!</v>
      </c>
      <c r="S138" s="24" t="e">
        <f>INDEX(#REF!,MATCH('Input Data'!S$123,#REF!,0))</f>
        <v>#REF!</v>
      </c>
      <c r="T138" s="24" t="e">
        <f>INDEX(#REF!,MATCH('Input Data'!T$123,#REF!,0))</f>
        <v>#REF!</v>
      </c>
      <c r="U138" s="24" t="e">
        <f>INDEX(#REF!,MATCH('Input Data'!U$123,#REF!,0))</f>
        <v>#REF!</v>
      </c>
      <c r="V138" s="24" t="e">
        <f>INDEX(#REF!,MATCH('Input Data'!V$123,#REF!,0))</f>
        <v>#REF!</v>
      </c>
      <c r="W138" s="24" t="e">
        <f>INDEX(#REF!,MATCH('Input Data'!W$123,#REF!,0))</f>
        <v>#REF!</v>
      </c>
      <c r="X138" s="24" t="e">
        <f>INDEX(#REF!,MATCH('Input Data'!X$123,#REF!,0))</f>
        <v>#REF!</v>
      </c>
      <c r="Y138" s="24" t="e">
        <f>INDEX(#REF!,MATCH('Input Data'!Y$123,#REF!,0))</f>
        <v>#REF!</v>
      </c>
      <c r="Z138" s="24" t="e">
        <f>INDEX(#REF!,MATCH('Input Data'!Z$123,#REF!,0))</f>
        <v>#REF!</v>
      </c>
      <c r="AA138" s="24" t="e">
        <f>INDEX(#REF!,MATCH('Input Data'!AA$123,#REF!,0))</f>
        <v>#REF!</v>
      </c>
      <c r="AB138" s="24" t="e">
        <f>INDEX(#REF!,MATCH('Input Data'!AB$123,#REF!,0))</f>
        <v>#REF!</v>
      </c>
      <c r="AC138" s="24" t="e">
        <f>INDEX(#REF!,MATCH('Input Data'!AC$123,#REF!,0))</f>
        <v>#REF!</v>
      </c>
      <c r="AD138" s="24" t="e">
        <f>INDEX(#REF!,MATCH('Input Data'!AD$123,#REF!,0))</f>
        <v>#REF!</v>
      </c>
      <c r="AE138" s="24" t="e">
        <f>INDEX(#REF!,MATCH('Input Data'!AE$123,#REF!,0))</f>
        <v>#REF!</v>
      </c>
      <c r="AF138" s="24" t="e">
        <f>INDEX(#REF!,MATCH('Input Data'!AF$123,#REF!,0))</f>
        <v>#REF!</v>
      </c>
      <c r="AG138" s="24" t="e">
        <f>INDEX(#REF!,MATCH('Input Data'!AG$123,#REF!,0))</f>
        <v>#REF!</v>
      </c>
    </row>
    <row r="139" spans="1:33" ht="22.5" hidden="1" customHeight="1" outlineLevel="1" x14ac:dyDescent="0.35">
      <c r="A139" s="15"/>
      <c r="B139" s="4" t="s">
        <v>186</v>
      </c>
      <c r="C139" s="4" t="s">
        <v>241</v>
      </c>
      <c r="D139" s="24" t="e">
        <f>INDEX(#REF!,MATCH('Input Data'!D$123,#REF!,0))</f>
        <v>#REF!</v>
      </c>
      <c r="E139" s="24" t="e">
        <f>INDEX(#REF!,MATCH('Input Data'!E$123,#REF!,0))</f>
        <v>#REF!</v>
      </c>
      <c r="F139" s="24" t="e">
        <f>INDEX(#REF!,MATCH('Input Data'!F$123,#REF!,0))</f>
        <v>#REF!</v>
      </c>
      <c r="G139" s="24" t="e">
        <f>INDEX(#REF!,MATCH('Input Data'!G$123,#REF!,0))</f>
        <v>#REF!</v>
      </c>
      <c r="H139" s="24" t="e">
        <f>INDEX(#REF!,MATCH('Input Data'!H$123,#REF!,0))</f>
        <v>#REF!</v>
      </c>
      <c r="I139" s="24" t="e">
        <f>INDEX(#REF!,MATCH('Input Data'!I$123,#REF!,0))</f>
        <v>#REF!</v>
      </c>
      <c r="J139" s="24" t="e">
        <f>INDEX(#REF!,MATCH('Input Data'!J$123,#REF!,0))</f>
        <v>#REF!</v>
      </c>
      <c r="K139" s="24" t="e">
        <f>INDEX(#REF!,MATCH('Input Data'!K$123,#REF!,0))</f>
        <v>#REF!</v>
      </c>
      <c r="L139" s="24" t="e">
        <f>INDEX(#REF!,MATCH('Input Data'!L$123,#REF!,0))</f>
        <v>#REF!</v>
      </c>
      <c r="M139" s="24" t="e">
        <f>INDEX(#REF!,MATCH('Input Data'!M$123,#REF!,0))</f>
        <v>#REF!</v>
      </c>
      <c r="N139" s="24" t="e">
        <f>INDEX(#REF!,MATCH('Input Data'!N$123,#REF!,0))</f>
        <v>#REF!</v>
      </c>
      <c r="O139" s="24" t="e">
        <f>INDEX(#REF!,MATCH('Input Data'!O$123,#REF!,0))</f>
        <v>#REF!</v>
      </c>
      <c r="P139" s="24" t="e">
        <f>INDEX(#REF!,MATCH('Input Data'!P$123,#REF!,0))</f>
        <v>#REF!</v>
      </c>
      <c r="Q139" s="24" t="e">
        <f>INDEX(#REF!,MATCH('Input Data'!Q$123,#REF!,0))</f>
        <v>#REF!</v>
      </c>
      <c r="R139" s="24" t="e">
        <f>INDEX(#REF!,MATCH('Input Data'!R$123,#REF!,0))</f>
        <v>#REF!</v>
      </c>
      <c r="S139" s="24" t="e">
        <f>INDEX(#REF!,MATCH('Input Data'!S$123,#REF!,0))</f>
        <v>#REF!</v>
      </c>
      <c r="T139" s="24" t="e">
        <f>INDEX(#REF!,MATCH('Input Data'!T$123,#REF!,0))</f>
        <v>#REF!</v>
      </c>
      <c r="U139" s="24" t="e">
        <f>INDEX(#REF!,MATCH('Input Data'!U$123,#REF!,0))</f>
        <v>#REF!</v>
      </c>
      <c r="V139" s="24" t="e">
        <f>INDEX(#REF!,MATCH('Input Data'!V$123,#REF!,0))</f>
        <v>#REF!</v>
      </c>
      <c r="W139" s="24" t="e">
        <f>INDEX(#REF!,MATCH('Input Data'!W$123,#REF!,0))</f>
        <v>#REF!</v>
      </c>
      <c r="X139" s="24" t="e">
        <f>INDEX(#REF!,MATCH('Input Data'!X$123,#REF!,0))</f>
        <v>#REF!</v>
      </c>
      <c r="Y139" s="24" t="e">
        <f>INDEX(#REF!,MATCH('Input Data'!Y$123,#REF!,0))</f>
        <v>#REF!</v>
      </c>
      <c r="Z139" s="24" t="e">
        <f>INDEX(#REF!,MATCH('Input Data'!Z$123,#REF!,0))</f>
        <v>#REF!</v>
      </c>
      <c r="AA139" s="24" t="e">
        <f>INDEX(#REF!,MATCH('Input Data'!AA$123,#REF!,0))</f>
        <v>#REF!</v>
      </c>
      <c r="AB139" s="24" t="e">
        <f>INDEX(#REF!,MATCH('Input Data'!AB$123,#REF!,0))</f>
        <v>#REF!</v>
      </c>
      <c r="AC139" s="24" t="e">
        <f>INDEX(#REF!,MATCH('Input Data'!AC$123,#REF!,0))</f>
        <v>#REF!</v>
      </c>
      <c r="AD139" s="24" t="e">
        <f>INDEX(#REF!,MATCH('Input Data'!AD$123,#REF!,0))</f>
        <v>#REF!</v>
      </c>
      <c r="AE139" s="24" t="e">
        <f>INDEX(#REF!,MATCH('Input Data'!AE$123,#REF!,0))</f>
        <v>#REF!</v>
      </c>
      <c r="AF139" s="24" t="e">
        <f>INDEX(#REF!,MATCH('Input Data'!AF$123,#REF!,0))</f>
        <v>#REF!</v>
      </c>
      <c r="AG139" s="24" t="e">
        <f>INDEX(#REF!,MATCH('Input Data'!AG$123,#REF!,0))</f>
        <v>#REF!</v>
      </c>
    </row>
    <row r="140" spans="1:33" ht="22.5" hidden="1" customHeight="1" outlineLevel="1" x14ac:dyDescent="0.35">
      <c r="A140" s="15"/>
      <c r="B140" s="4" t="s">
        <v>142</v>
      </c>
      <c r="C140" s="4" t="s">
        <v>166</v>
      </c>
      <c r="D140" s="22" t="e">
        <f>INDEX(#REF!,MATCH('Input Data'!D$123,#REF!,0))</f>
        <v>#REF!</v>
      </c>
      <c r="E140" s="22" t="e">
        <f>INDEX(#REF!,MATCH('Input Data'!E$123,#REF!,0))</f>
        <v>#REF!</v>
      </c>
      <c r="F140" s="22" t="e">
        <f>INDEX(#REF!,MATCH('Input Data'!F$123,#REF!,0))</f>
        <v>#REF!</v>
      </c>
      <c r="G140" s="22" t="e">
        <f>INDEX(#REF!,MATCH('Input Data'!G$123,#REF!,0))</f>
        <v>#REF!</v>
      </c>
      <c r="H140" s="22" t="e">
        <f>INDEX(#REF!,MATCH('Input Data'!H$123,#REF!,0))</f>
        <v>#REF!</v>
      </c>
      <c r="I140" s="22" t="e">
        <f>INDEX(#REF!,MATCH('Input Data'!I$123,#REF!,0))</f>
        <v>#REF!</v>
      </c>
      <c r="J140" s="22" t="e">
        <f>INDEX(#REF!,MATCH('Input Data'!J$123,#REF!,0))</f>
        <v>#REF!</v>
      </c>
      <c r="K140" s="22" t="e">
        <f>INDEX(#REF!,MATCH('Input Data'!K$123,#REF!,0))</f>
        <v>#REF!</v>
      </c>
      <c r="L140" s="22" t="e">
        <f>INDEX(#REF!,MATCH('Input Data'!L$123,#REF!,0))</f>
        <v>#REF!</v>
      </c>
      <c r="M140" s="22" t="e">
        <f>INDEX(#REF!,MATCH('Input Data'!M$123,#REF!,0))</f>
        <v>#REF!</v>
      </c>
      <c r="N140" s="22" t="e">
        <f>INDEX(#REF!,MATCH('Input Data'!N$123,#REF!,0))</f>
        <v>#REF!</v>
      </c>
      <c r="O140" s="22" t="e">
        <f>INDEX(#REF!,MATCH('Input Data'!O$123,#REF!,0))</f>
        <v>#REF!</v>
      </c>
      <c r="P140" s="22" t="e">
        <f>INDEX(#REF!,MATCH('Input Data'!P$123,#REF!,0))</f>
        <v>#REF!</v>
      </c>
      <c r="Q140" s="22" t="e">
        <f>INDEX(#REF!,MATCH('Input Data'!Q$123,#REF!,0))</f>
        <v>#REF!</v>
      </c>
      <c r="R140" s="22" t="e">
        <f>INDEX(#REF!,MATCH('Input Data'!R$123,#REF!,0))</f>
        <v>#REF!</v>
      </c>
      <c r="S140" s="22" t="e">
        <f>INDEX(#REF!,MATCH('Input Data'!S$123,#REF!,0))</f>
        <v>#REF!</v>
      </c>
      <c r="T140" s="22" t="e">
        <f>INDEX(#REF!,MATCH('Input Data'!T$123,#REF!,0))</f>
        <v>#REF!</v>
      </c>
      <c r="U140" s="22" t="e">
        <f>INDEX(#REF!,MATCH('Input Data'!U$123,#REF!,0))</f>
        <v>#REF!</v>
      </c>
      <c r="V140" s="22" t="e">
        <f>INDEX(#REF!,MATCH('Input Data'!V$123,#REF!,0))</f>
        <v>#REF!</v>
      </c>
      <c r="W140" s="22" t="e">
        <f>INDEX(#REF!,MATCH('Input Data'!W$123,#REF!,0))</f>
        <v>#REF!</v>
      </c>
      <c r="X140" s="22" t="e">
        <f>INDEX(#REF!,MATCH('Input Data'!X$123,#REF!,0))</f>
        <v>#REF!</v>
      </c>
      <c r="Y140" s="22" t="e">
        <f>INDEX(#REF!,MATCH('Input Data'!Y$123,#REF!,0))</f>
        <v>#REF!</v>
      </c>
      <c r="Z140" s="22" t="e">
        <f>INDEX(#REF!,MATCH('Input Data'!Z$123,#REF!,0))</f>
        <v>#REF!</v>
      </c>
      <c r="AA140" s="22" t="e">
        <f>INDEX(#REF!,MATCH('Input Data'!AA$123,#REF!,0))</f>
        <v>#REF!</v>
      </c>
      <c r="AB140" s="22" t="e">
        <f>INDEX(#REF!,MATCH('Input Data'!AB$123,#REF!,0))</f>
        <v>#REF!</v>
      </c>
      <c r="AC140" s="22" t="e">
        <f>INDEX(#REF!,MATCH('Input Data'!AC$123,#REF!,0))</f>
        <v>#REF!</v>
      </c>
      <c r="AD140" s="22" t="e">
        <f>INDEX(#REF!,MATCH('Input Data'!AD$123,#REF!,0))</f>
        <v>#REF!</v>
      </c>
      <c r="AE140" s="22" t="e">
        <f>INDEX(#REF!,MATCH('Input Data'!AE$123,#REF!,0))</f>
        <v>#REF!</v>
      </c>
      <c r="AF140" s="22" t="e">
        <f>INDEX(#REF!,MATCH('Input Data'!AF$123,#REF!,0))</f>
        <v>#REF!</v>
      </c>
      <c r="AG140" s="22" t="e">
        <f>INDEX(#REF!,MATCH('Input Data'!AG$123,#REF!,0))</f>
        <v>#REF!</v>
      </c>
    </row>
    <row r="141" spans="1:33" ht="22.5" hidden="1" customHeight="1" outlineLevel="1" x14ac:dyDescent="0.35">
      <c r="A141" s="15"/>
      <c r="B141" s="4" t="s">
        <v>191</v>
      </c>
      <c r="C141" s="4" t="s">
        <v>109</v>
      </c>
      <c r="D141" s="22" t="e">
        <f>IF(INDEX(#REF!,MATCH(D123,#REF!,0))=D124,INDEX(#REF!,MATCH(FinancialYearId,#REF!,0),MATCH(D123,#REF!,0)),IF(D124="As Is",INDEX(#REF!,MATCH(FinancialYearId,#REF!,0),MATCH(D123,#REF!,0))*D125,INDEX(#REF!,MATCH(FinancialYearId,#REF!,0),MATCH(D123,#REF!,0))/D125))</f>
        <v>#REF!</v>
      </c>
      <c r="E141" s="22" t="e">
        <f>IF(INDEX(#REF!,MATCH(E123,#REF!,0))=E124,INDEX(#REF!,MATCH(FinancialYearId,#REF!,0),MATCH(E123,#REF!,0)),IF(E124="As Is",INDEX(#REF!,MATCH(FinancialYearId,#REF!,0),MATCH(E123,#REF!,0))*E125,INDEX(#REF!,MATCH(FinancialYearId,#REF!,0),MATCH(E123,#REF!,0))/E125))</f>
        <v>#REF!</v>
      </c>
      <c r="F141" s="22" t="e">
        <f>IF(INDEX(#REF!,MATCH(F123,#REF!,0))=F124,INDEX(#REF!,MATCH(FinancialYearId,#REF!,0),MATCH(F123,#REF!,0)),IF(F124="As Is",INDEX(#REF!,MATCH(FinancialYearId,#REF!,0),MATCH(F123,#REF!,0))*F125,INDEX(#REF!,MATCH(FinancialYearId,#REF!,0),MATCH(F123,#REF!,0))/F125))</f>
        <v>#REF!</v>
      </c>
      <c r="G141" s="22" t="e">
        <f>IF(INDEX(#REF!,MATCH(G123,#REF!,0))=G124,INDEX(#REF!,MATCH(FinancialYearId,#REF!,0),MATCH(G123,#REF!,0)),IF(G124="As Is",INDEX(#REF!,MATCH(FinancialYearId,#REF!,0),MATCH(G123,#REF!,0))*G125,INDEX(#REF!,MATCH(FinancialYearId,#REF!,0),MATCH(G123,#REF!,0))/G125))</f>
        <v>#REF!</v>
      </c>
      <c r="H141" s="22" t="e">
        <f>IF(INDEX(#REF!,MATCH(H123,#REF!,0))=H124,INDEX(#REF!,MATCH(FinancialYearId,#REF!,0),MATCH(H123,#REF!,0)),IF(H124="As Is",INDEX(#REF!,MATCH(FinancialYearId,#REF!,0),MATCH(H123,#REF!,0))*H125,INDEX(#REF!,MATCH(FinancialYearId,#REF!,0),MATCH(H123,#REF!,0))/H125))</f>
        <v>#REF!</v>
      </c>
      <c r="I141" s="22" t="e">
        <f>IF(INDEX(#REF!,MATCH(I123,#REF!,0))=I124,INDEX(#REF!,MATCH(FinancialYearId,#REF!,0),MATCH(I123,#REF!,0)),IF(I124="As Is",INDEX(#REF!,MATCH(FinancialYearId,#REF!,0),MATCH(I123,#REF!,0))*I125,INDEX(#REF!,MATCH(FinancialYearId,#REF!,0),MATCH(I123,#REF!,0))/I125))</f>
        <v>#REF!</v>
      </c>
      <c r="J141" s="22" t="e">
        <f>IF(INDEX(#REF!,MATCH(J123,#REF!,0))=J124,INDEX(#REF!,MATCH(FinancialYearId,#REF!,0),MATCH(J123,#REF!,0)),IF(J124="As Is",INDEX(#REF!,MATCH(FinancialYearId,#REF!,0),MATCH(J123,#REF!,0))*J125,INDEX(#REF!,MATCH(FinancialYearId,#REF!,0),MATCH(J123,#REF!,0))/J125))</f>
        <v>#REF!</v>
      </c>
      <c r="K141" s="22" t="e">
        <f>IF(INDEX(#REF!,MATCH(K123,#REF!,0))=K124,INDEX(#REF!,MATCH(FinancialYearId,#REF!,0),MATCH(K123,#REF!,0)),IF(K124="As Is",INDEX(#REF!,MATCH(FinancialYearId,#REF!,0),MATCH(K123,#REF!,0))*K125,INDEX(#REF!,MATCH(FinancialYearId,#REF!,0),MATCH(K123,#REF!,0))/K125))</f>
        <v>#REF!</v>
      </c>
      <c r="L141" s="22" t="e">
        <f>IF(INDEX(#REF!,MATCH(L123,#REF!,0))=L124,INDEX(#REF!,MATCH(FinancialYearId,#REF!,0),MATCH(L123,#REF!,0)),IF(L124="As Is",INDEX(#REF!,MATCH(FinancialYearId,#REF!,0),MATCH(L123,#REF!,0))*L125,INDEX(#REF!,MATCH(FinancialYearId,#REF!,0),MATCH(L123,#REF!,0))/L125))</f>
        <v>#REF!</v>
      </c>
      <c r="M141" s="22" t="e">
        <f>IF(INDEX(#REF!,MATCH(M123,#REF!,0))=M124,INDEX(#REF!,MATCH(FinancialYearId,#REF!,0),MATCH(M123,#REF!,0)),IF(M124="As Is",INDEX(#REF!,MATCH(FinancialYearId,#REF!,0),MATCH(M123,#REF!,0))*M125,INDEX(#REF!,MATCH(FinancialYearId,#REF!,0),MATCH(M123,#REF!,0))/M125))</f>
        <v>#REF!</v>
      </c>
      <c r="N141" s="22" t="e">
        <f>IF(INDEX(#REF!,MATCH(N123,#REF!,0))=N124,INDEX(#REF!,MATCH(FinancialYearId,#REF!,0),MATCH(N123,#REF!,0)),IF(N124="As Is",INDEX(#REF!,MATCH(FinancialYearId,#REF!,0),MATCH(N123,#REF!,0))*N125,INDEX(#REF!,MATCH(FinancialYearId,#REF!,0),MATCH(N123,#REF!,0))/N125))</f>
        <v>#REF!</v>
      </c>
      <c r="O141" s="22" t="e">
        <f>IF(INDEX(#REF!,MATCH(O123,#REF!,0))=O124,INDEX(#REF!,MATCH(FinancialYearId,#REF!,0),MATCH(O123,#REF!,0)),IF(O124="As Is",INDEX(#REF!,MATCH(FinancialYearId,#REF!,0),MATCH(O123,#REF!,0))*O125,INDEX(#REF!,MATCH(FinancialYearId,#REF!,0),MATCH(O123,#REF!,0))/O125))</f>
        <v>#REF!</v>
      </c>
      <c r="P141" s="22" t="e">
        <f>IF(INDEX(#REF!,MATCH(P123,#REF!,0))=P124,INDEX(#REF!,MATCH(FinancialYearId,#REF!,0),MATCH(P123,#REF!,0)),IF(P124="As Is",INDEX(#REF!,MATCH(FinancialYearId,#REF!,0),MATCH(P123,#REF!,0))*P125,INDEX(#REF!,MATCH(FinancialYearId,#REF!,0),MATCH(P123,#REF!,0))/P125))</f>
        <v>#REF!</v>
      </c>
      <c r="Q141" s="22" t="e">
        <f>IF(INDEX(#REF!,MATCH(Q123,#REF!,0))=Q124,INDEX(#REF!,MATCH(FinancialYearId,#REF!,0),MATCH(Q123,#REF!,0)),IF(Q124="As Is",INDEX(#REF!,MATCH(FinancialYearId,#REF!,0),MATCH(Q123,#REF!,0))*Q125,INDEX(#REF!,MATCH(FinancialYearId,#REF!,0),MATCH(Q123,#REF!,0))/Q125))</f>
        <v>#REF!</v>
      </c>
      <c r="R141" s="22" t="e">
        <f>IF(INDEX(#REF!,MATCH(R123,#REF!,0))=R124,INDEX(#REF!,MATCH(FinancialYearId,#REF!,0),MATCH(R123,#REF!,0)),IF(R124="As Is",INDEX(#REF!,MATCH(FinancialYearId,#REF!,0),MATCH(R123,#REF!,0))*R125,INDEX(#REF!,MATCH(FinancialYearId,#REF!,0),MATCH(R123,#REF!,0))/R125))</f>
        <v>#REF!</v>
      </c>
      <c r="S141" s="22" t="e">
        <f>IF(INDEX(#REF!,MATCH(S123,#REF!,0))=S124,INDEX(#REF!,MATCH(FinancialYearId,#REF!,0),MATCH(S123,#REF!,0)),IF(S124="As Is",INDEX(#REF!,MATCH(FinancialYearId,#REF!,0),MATCH(S123,#REF!,0))*S125,INDEX(#REF!,MATCH(FinancialYearId,#REF!,0),MATCH(S123,#REF!,0))/S125))</f>
        <v>#REF!</v>
      </c>
      <c r="T141" s="22" t="e">
        <f>IF(INDEX(#REF!,MATCH(T123,#REF!,0))=T124,INDEX(#REF!,MATCH(FinancialYearId,#REF!,0),MATCH(T123,#REF!,0)),IF(T124="As Is",INDEX(#REF!,MATCH(FinancialYearId,#REF!,0),MATCH(T123,#REF!,0))*T125,INDEX(#REF!,MATCH(FinancialYearId,#REF!,0),MATCH(T123,#REF!,0))/T125))</f>
        <v>#REF!</v>
      </c>
      <c r="U141" s="22" t="e">
        <f>IF(INDEX(#REF!,MATCH(U123,#REF!,0))=U124,INDEX(#REF!,MATCH(FinancialYearId,#REF!,0),MATCH(U123,#REF!,0)),IF(U124="As Is",INDEX(#REF!,MATCH(FinancialYearId,#REF!,0),MATCH(U123,#REF!,0))*U125,INDEX(#REF!,MATCH(FinancialYearId,#REF!,0),MATCH(U123,#REF!,0))/U125))</f>
        <v>#REF!</v>
      </c>
      <c r="V141" s="22" t="e">
        <f>IF(INDEX(#REF!,MATCH(V123,#REF!,0))=V124,INDEX(#REF!,MATCH(FinancialYearId,#REF!,0),MATCH(V123,#REF!,0)),IF(V124="As Is",INDEX(#REF!,MATCH(FinancialYearId,#REF!,0),MATCH(V123,#REF!,0))*V125,INDEX(#REF!,MATCH(FinancialYearId,#REF!,0),MATCH(V123,#REF!,0))/V125))</f>
        <v>#REF!</v>
      </c>
      <c r="W141" s="22" t="e">
        <f>IF(INDEX(#REF!,MATCH(W123,#REF!,0))=W124,INDEX(#REF!,MATCH(FinancialYearId,#REF!,0),MATCH(W123,#REF!,0)),IF(W124="As Is",INDEX(#REF!,MATCH(FinancialYearId,#REF!,0),MATCH(W123,#REF!,0))*W125,INDEX(#REF!,MATCH(FinancialYearId,#REF!,0),MATCH(W123,#REF!,0))/W125))</f>
        <v>#REF!</v>
      </c>
      <c r="X141" s="22" t="e">
        <f>IF(INDEX(#REF!,MATCH(X123,#REF!,0))=X124,INDEX(#REF!,MATCH(FinancialYearId,#REF!,0),MATCH(X123,#REF!,0)),IF(X124="As Is",INDEX(#REF!,MATCH(FinancialYearId,#REF!,0),MATCH(X123,#REF!,0))*X125,INDEX(#REF!,MATCH(FinancialYearId,#REF!,0),MATCH(X123,#REF!,0))/X125))</f>
        <v>#REF!</v>
      </c>
      <c r="Y141" s="22" t="e">
        <f>IF(INDEX(#REF!,MATCH(Y123,#REF!,0))=Y124,INDEX(#REF!,MATCH(FinancialYearId,#REF!,0),MATCH(Y123,#REF!,0)),IF(Y124="As Is",INDEX(#REF!,MATCH(FinancialYearId,#REF!,0),MATCH(Y123,#REF!,0))*Y125,INDEX(#REF!,MATCH(FinancialYearId,#REF!,0),MATCH(Y123,#REF!,0))/Y125))</f>
        <v>#REF!</v>
      </c>
      <c r="Z141" s="22" t="e">
        <f>IF(INDEX(#REF!,MATCH(Z123,#REF!,0))=Z124,INDEX(#REF!,MATCH(FinancialYearId,#REF!,0),MATCH(Z123,#REF!,0)),IF(Z124="As Is",INDEX(#REF!,MATCH(FinancialYearId,#REF!,0),MATCH(Z123,#REF!,0))*Z125,INDEX(#REF!,MATCH(FinancialYearId,#REF!,0),MATCH(Z123,#REF!,0))/Z125))</f>
        <v>#REF!</v>
      </c>
      <c r="AA141" s="22" t="e">
        <f>IF(INDEX(#REF!,MATCH(AA123,#REF!,0))=AA124,INDEX(#REF!,MATCH(FinancialYearId,#REF!,0),MATCH(AA123,#REF!,0)),IF(AA124="As Is",INDEX(#REF!,MATCH(FinancialYearId,#REF!,0),MATCH(AA123,#REF!,0))*AA125,INDEX(#REF!,MATCH(FinancialYearId,#REF!,0),MATCH(AA123,#REF!,0))/AA125))</f>
        <v>#REF!</v>
      </c>
      <c r="AB141" s="22" t="e">
        <f>IF(INDEX(#REF!,MATCH(AB123,#REF!,0))=AB124,INDEX(#REF!,MATCH(FinancialYearId,#REF!,0),MATCH(AB123,#REF!,0)),IF(AB124="As Is",INDEX(#REF!,MATCH(FinancialYearId,#REF!,0),MATCH(AB123,#REF!,0))*AB125,INDEX(#REF!,MATCH(FinancialYearId,#REF!,0),MATCH(AB123,#REF!,0))/AB125))</f>
        <v>#REF!</v>
      </c>
      <c r="AC141" s="22" t="e">
        <f>IF(INDEX(#REF!,MATCH(AC123,#REF!,0))=AC124,INDEX(#REF!,MATCH(FinancialYearId,#REF!,0),MATCH(AC123,#REF!,0)),IF(AC124="As Is",INDEX(#REF!,MATCH(FinancialYearId,#REF!,0),MATCH(AC123,#REF!,0))*AC125,INDEX(#REF!,MATCH(FinancialYearId,#REF!,0),MATCH(AC123,#REF!,0))/AC125))</f>
        <v>#REF!</v>
      </c>
      <c r="AD141" s="22" t="e">
        <f>IF(INDEX(#REF!,MATCH(AD123,#REF!,0))=AD124,INDEX(#REF!,MATCH(FinancialYearId,#REF!,0),MATCH(AD123,#REF!,0)),IF(AD124="As Is",INDEX(#REF!,MATCH(FinancialYearId,#REF!,0),MATCH(AD123,#REF!,0))*AD125,INDEX(#REF!,MATCH(FinancialYearId,#REF!,0),MATCH(AD123,#REF!,0))/AD125))</f>
        <v>#REF!</v>
      </c>
      <c r="AE141" s="22" t="e">
        <f>IF(INDEX(#REF!,MATCH(AE123,#REF!,0))=AE124,INDEX(#REF!,MATCH(FinancialYearId,#REF!,0),MATCH(AE123,#REF!,0)),IF(AE124="As Is",INDEX(#REF!,MATCH(FinancialYearId,#REF!,0),MATCH(AE123,#REF!,0))*AE125,INDEX(#REF!,MATCH(FinancialYearId,#REF!,0),MATCH(AE123,#REF!,0))/AE125))</f>
        <v>#REF!</v>
      </c>
      <c r="AF141" s="22" t="e">
        <f>IF(INDEX(#REF!,MATCH(AF123,#REF!,0))=AF124,INDEX(#REF!,MATCH(FinancialYearId,#REF!,0),MATCH(AF123,#REF!,0)),IF(AF124="As Is",INDEX(#REF!,MATCH(FinancialYearId,#REF!,0),MATCH(AF123,#REF!,0))*AF125,INDEX(#REF!,MATCH(FinancialYearId,#REF!,0),MATCH(AF123,#REF!,0))/AF125))</f>
        <v>#REF!</v>
      </c>
      <c r="AG141" s="22" t="e">
        <f>IF(INDEX(#REF!,MATCH(AG123,#REF!,0))=AG124,INDEX(#REF!,MATCH(FinancialYearId,#REF!,0),MATCH(AG123,#REF!,0)),IF(AG124="As Is",INDEX(#REF!,MATCH(FinancialYearId,#REF!,0),MATCH(AG123,#REF!,0))*AG125,INDEX(#REF!,MATCH(FinancialYearId,#REF!,0),MATCH(AG123,#REF!,0))/AG125))</f>
        <v>#REF!</v>
      </c>
    </row>
    <row r="142" spans="1:33" ht="22.5" hidden="1" customHeight="1" outlineLevel="1" x14ac:dyDescent="0.35">
      <c r="A142" s="15"/>
      <c r="B142" s="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33" ht="28.5" hidden="1" customHeight="1" collapsed="1" x14ac:dyDescent="0.35">
      <c r="A143" s="35"/>
      <c r="B143" s="29" t="s">
        <v>155</v>
      </c>
      <c r="C143" s="19"/>
      <c r="D143" s="19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6"/>
    </row>
    <row r="144" spans="1:33" ht="41.25" hidden="1" customHeight="1" outlineLevel="1" x14ac:dyDescent="0.45">
      <c r="A144" s="126"/>
      <c r="B144" s="208"/>
      <c r="C144" s="43"/>
      <c r="D144" s="12" t="s">
        <v>349</v>
      </c>
      <c r="E144" s="12" t="s">
        <v>17</v>
      </c>
      <c r="F144" s="12" t="s">
        <v>162</v>
      </c>
      <c r="G144" s="12" t="s">
        <v>270</v>
      </c>
      <c r="H144" s="12" t="s">
        <v>368</v>
      </c>
      <c r="I144" s="12" t="s">
        <v>45</v>
      </c>
      <c r="J144" s="12" t="s">
        <v>163</v>
      </c>
      <c r="K144" s="12" t="s">
        <v>271</v>
      </c>
      <c r="L144" s="12" t="s">
        <v>372</v>
      </c>
      <c r="M144" s="12" t="s">
        <v>219</v>
      </c>
      <c r="N144" s="12" t="s">
        <v>334</v>
      </c>
      <c r="O144" s="12" t="s">
        <v>420</v>
      </c>
      <c r="P144" s="12" t="s">
        <v>121</v>
      </c>
      <c r="Q144" s="12" t="s">
        <v>220</v>
      </c>
      <c r="R144" s="12" t="s">
        <v>335</v>
      </c>
      <c r="S144" s="12" t="s">
        <v>421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22.5" hidden="1" customHeight="1" outlineLevel="1" x14ac:dyDescent="0.35">
      <c r="A145" s="15"/>
      <c r="B145" s="4" t="s">
        <v>269</v>
      </c>
      <c r="D145" s="8" t="s">
        <v>261</v>
      </c>
      <c r="E145" s="8" t="s">
        <v>261</v>
      </c>
      <c r="F145" s="8" t="s">
        <v>261</v>
      </c>
      <c r="G145" s="8" t="s">
        <v>261</v>
      </c>
      <c r="H145" s="8" t="s">
        <v>261</v>
      </c>
      <c r="I145" s="8" t="s">
        <v>261</v>
      </c>
      <c r="J145" s="8" t="s">
        <v>261</v>
      </c>
      <c r="K145" s="8" t="s">
        <v>261</v>
      </c>
      <c r="L145" s="8" t="s">
        <v>261</v>
      </c>
      <c r="M145" s="8" t="s">
        <v>261</v>
      </c>
      <c r="N145" s="8" t="s">
        <v>261</v>
      </c>
      <c r="O145" s="8" t="s">
        <v>261</v>
      </c>
      <c r="P145" s="8" t="s">
        <v>261</v>
      </c>
      <c r="Q145" s="8" t="s">
        <v>261</v>
      </c>
      <c r="R145" s="8" t="s">
        <v>261</v>
      </c>
      <c r="S145" s="8" t="s">
        <v>261</v>
      </c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22.5" hidden="1" customHeight="1" outlineLevel="1" x14ac:dyDescent="0.35">
      <c r="A146" s="15"/>
      <c r="B146" s="4" t="s">
        <v>367</v>
      </c>
      <c r="C146" s="4" t="s">
        <v>321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22.5" hidden="1" customHeight="1" outlineLevel="1" x14ac:dyDescent="0.35">
      <c r="A147" s="15"/>
      <c r="B147" s="4" t="s">
        <v>16</v>
      </c>
      <c r="C147" s="4" t="s">
        <v>321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22.5" hidden="1" customHeight="1" outlineLevel="1" x14ac:dyDescent="0.35">
      <c r="A148" s="15"/>
      <c r="B148" s="4" t="s">
        <v>117</v>
      </c>
      <c r="C148" s="4" t="s">
        <v>85</v>
      </c>
      <c r="D148" s="11" t="e">
        <f t="shared" ref="D148:S151" si="11">D153</f>
        <v>#REF!</v>
      </c>
      <c r="E148" s="11" t="e">
        <f t="shared" si="11"/>
        <v>#REF!</v>
      </c>
      <c r="F148" s="11" t="e">
        <f t="shared" si="11"/>
        <v>#REF!</v>
      </c>
      <c r="G148" s="11" t="e">
        <f t="shared" si="11"/>
        <v>#REF!</v>
      </c>
      <c r="H148" s="11" t="e">
        <f t="shared" si="11"/>
        <v>#REF!</v>
      </c>
      <c r="I148" s="11" t="e">
        <f t="shared" si="11"/>
        <v>#REF!</v>
      </c>
      <c r="J148" s="11" t="e">
        <f t="shared" si="11"/>
        <v>#REF!</v>
      </c>
      <c r="K148" s="11" t="e">
        <f t="shared" si="11"/>
        <v>#REF!</v>
      </c>
      <c r="L148" s="11" t="e">
        <f t="shared" si="11"/>
        <v>#REF!</v>
      </c>
      <c r="M148" s="11" t="e">
        <f t="shared" si="11"/>
        <v>#REF!</v>
      </c>
      <c r="N148" s="11" t="e">
        <f t="shared" si="11"/>
        <v>#REF!</v>
      </c>
      <c r="O148" s="11" t="e">
        <f t="shared" si="11"/>
        <v>#REF!</v>
      </c>
      <c r="P148" s="11" t="e">
        <f t="shared" si="11"/>
        <v>#REF!</v>
      </c>
      <c r="Q148" s="11" t="e">
        <f t="shared" si="11"/>
        <v>#REF!</v>
      </c>
      <c r="R148" s="11" t="e">
        <f t="shared" si="11"/>
        <v>#REF!</v>
      </c>
      <c r="S148" s="11" t="e">
        <f t="shared" si="11"/>
        <v>#REF!</v>
      </c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22.5" hidden="1" customHeight="1" outlineLevel="1" x14ac:dyDescent="0.35">
      <c r="A149" s="15"/>
      <c r="B149" s="4" t="s">
        <v>215</v>
      </c>
      <c r="C149" s="4" t="s">
        <v>85</v>
      </c>
      <c r="D149" s="11" t="e">
        <f t="shared" si="11"/>
        <v>#REF!</v>
      </c>
      <c r="E149" s="11" t="e">
        <f t="shared" si="11"/>
        <v>#REF!</v>
      </c>
      <c r="F149" s="11" t="e">
        <f t="shared" si="11"/>
        <v>#REF!</v>
      </c>
      <c r="G149" s="11" t="e">
        <f t="shared" si="11"/>
        <v>#REF!</v>
      </c>
      <c r="H149" s="11" t="e">
        <f t="shared" si="11"/>
        <v>#REF!</v>
      </c>
      <c r="I149" s="11" t="e">
        <f t="shared" si="11"/>
        <v>#REF!</v>
      </c>
      <c r="J149" s="11" t="e">
        <f t="shared" si="11"/>
        <v>#REF!</v>
      </c>
      <c r="K149" s="11" t="e">
        <f t="shared" si="11"/>
        <v>#REF!</v>
      </c>
      <c r="L149" s="11" t="e">
        <f t="shared" si="11"/>
        <v>#REF!</v>
      </c>
      <c r="M149" s="11" t="e">
        <f t="shared" si="11"/>
        <v>#REF!</v>
      </c>
      <c r="N149" s="11" t="e">
        <f t="shared" si="11"/>
        <v>#REF!</v>
      </c>
      <c r="O149" s="11" t="e">
        <f t="shared" si="11"/>
        <v>#REF!</v>
      </c>
      <c r="P149" s="11" t="e">
        <f t="shared" si="11"/>
        <v>#REF!</v>
      </c>
      <c r="Q149" s="11" t="e">
        <f t="shared" si="11"/>
        <v>#REF!</v>
      </c>
      <c r="R149" s="11" t="e">
        <f t="shared" si="11"/>
        <v>#REF!</v>
      </c>
      <c r="S149" s="11" t="e">
        <f t="shared" si="11"/>
        <v>#REF!</v>
      </c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22.5" hidden="1" customHeight="1" outlineLevel="1" x14ac:dyDescent="0.35">
      <c r="A150" s="15"/>
      <c r="B150" s="4" t="s">
        <v>86</v>
      </c>
      <c r="C150" s="4" t="s">
        <v>85</v>
      </c>
      <c r="D150" s="11" t="e">
        <f t="shared" si="11"/>
        <v>#REF!</v>
      </c>
      <c r="E150" s="11" t="e">
        <f t="shared" si="11"/>
        <v>#REF!</v>
      </c>
      <c r="F150" s="11" t="e">
        <f t="shared" si="11"/>
        <v>#REF!</v>
      </c>
      <c r="G150" s="11" t="e">
        <f t="shared" si="11"/>
        <v>#REF!</v>
      </c>
      <c r="H150" s="11" t="e">
        <f t="shared" si="11"/>
        <v>#REF!</v>
      </c>
      <c r="I150" s="11" t="e">
        <f t="shared" si="11"/>
        <v>#REF!</v>
      </c>
      <c r="J150" s="11" t="e">
        <f t="shared" si="11"/>
        <v>#REF!</v>
      </c>
      <c r="K150" s="11" t="e">
        <f t="shared" si="11"/>
        <v>#REF!</v>
      </c>
      <c r="L150" s="11" t="e">
        <f t="shared" si="11"/>
        <v>#REF!</v>
      </c>
      <c r="M150" s="11" t="e">
        <f t="shared" si="11"/>
        <v>#REF!</v>
      </c>
      <c r="N150" s="11" t="e">
        <f t="shared" si="11"/>
        <v>#REF!</v>
      </c>
      <c r="O150" s="11" t="e">
        <f t="shared" si="11"/>
        <v>#REF!</v>
      </c>
      <c r="P150" s="11" t="e">
        <f t="shared" si="11"/>
        <v>#REF!</v>
      </c>
      <c r="Q150" s="11" t="e">
        <f t="shared" si="11"/>
        <v>#REF!</v>
      </c>
      <c r="R150" s="11" t="e">
        <f t="shared" si="11"/>
        <v>#REF!</v>
      </c>
      <c r="S150" s="11" t="e">
        <f t="shared" si="11"/>
        <v>#REF!</v>
      </c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22.5" hidden="1" customHeight="1" outlineLevel="1" x14ac:dyDescent="0.35">
      <c r="A151" s="15"/>
      <c r="B151" s="4" t="s">
        <v>174</v>
      </c>
      <c r="C151" s="4" t="s">
        <v>85</v>
      </c>
      <c r="D151" s="11" t="e">
        <f t="shared" si="11"/>
        <v>#REF!</v>
      </c>
      <c r="E151" s="11" t="e">
        <f t="shared" si="11"/>
        <v>#REF!</v>
      </c>
      <c r="F151" s="11" t="e">
        <f t="shared" si="11"/>
        <v>#REF!</v>
      </c>
      <c r="G151" s="11" t="e">
        <f t="shared" si="11"/>
        <v>#REF!</v>
      </c>
      <c r="H151" s="11" t="e">
        <f t="shared" si="11"/>
        <v>#REF!</v>
      </c>
      <c r="I151" s="11" t="e">
        <f t="shared" si="11"/>
        <v>#REF!</v>
      </c>
      <c r="J151" s="11" t="e">
        <f t="shared" si="11"/>
        <v>#REF!</v>
      </c>
      <c r="K151" s="11" t="e">
        <f t="shared" si="11"/>
        <v>#REF!</v>
      </c>
      <c r="L151" s="11" t="e">
        <f t="shared" si="11"/>
        <v>#REF!</v>
      </c>
      <c r="M151" s="11" t="e">
        <f t="shared" si="11"/>
        <v>#REF!</v>
      </c>
      <c r="N151" s="11" t="e">
        <f t="shared" si="11"/>
        <v>#REF!</v>
      </c>
      <c r="O151" s="11" t="e">
        <f t="shared" si="11"/>
        <v>#REF!</v>
      </c>
      <c r="P151" s="11" t="e">
        <f t="shared" si="11"/>
        <v>#REF!</v>
      </c>
      <c r="Q151" s="11" t="e">
        <f t="shared" si="11"/>
        <v>#REF!</v>
      </c>
      <c r="R151" s="11" t="e">
        <f t="shared" si="11"/>
        <v>#REF!</v>
      </c>
      <c r="S151" s="11" t="e">
        <f t="shared" si="11"/>
        <v>#REF!</v>
      </c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36" hidden="1" customHeight="1" outlineLevel="1" x14ac:dyDescent="0.35">
      <c r="A152" s="15"/>
      <c r="B152" s="31" t="s">
        <v>145</v>
      </c>
      <c r="D152" s="104" t="s">
        <v>330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22.5" hidden="1" customHeight="1" outlineLevel="1" x14ac:dyDescent="0.35">
      <c r="A153" s="15"/>
      <c r="B153" s="4" t="s">
        <v>23</v>
      </c>
      <c r="C153" s="4" t="s">
        <v>85</v>
      </c>
      <c r="D153" s="38" t="e">
        <f>INDEX(#REF!,MATCH(D$145,#REF!,0))</f>
        <v>#REF!</v>
      </c>
      <c r="E153" s="38" t="e">
        <f>INDEX(#REF!,MATCH(E$145,#REF!,0))</f>
        <v>#REF!</v>
      </c>
      <c r="F153" s="38" t="e">
        <f>INDEX(#REF!,MATCH(F$145,#REF!,0))</f>
        <v>#REF!</v>
      </c>
      <c r="G153" s="38" t="e">
        <f>INDEX(#REF!,MATCH(G$145,#REF!,0))</f>
        <v>#REF!</v>
      </c>
      <c r="H153" s="38" t="e">
        <f>INDEX(#REF!,MATCH(H$145,#REF!,0))</f>
        <v>#REF!</v>
      </c>
      <c r="I153" s="38" t="e">
        <f>INDEX(#REF!,MATCH(I$145,#REF!,0))</f>
        <v>#REF!</v>
      </c>
      <c r="J153" s="38" t="e">
        <f>INDEX(#REF!,MATCH(J$145,#REF!,0))</f>
        <v>#REF!</v>
      </c>
      <c r="K153" s="38" t="e">
        <f>INDEX(#REF!,MATCH(K$145,#REF!,0))</f>
        <v>#REF!</v>
      </c>
      <c r="L153" s="38" t="e">
        <f>INDEX(#REF!,MATCH(L$145,#REF!,0))</f>
        <v>#REF!</v>
      </c>
      <c r="M153" s="38" t="e">
        <f>INDEX(#REF!,MATCH(M$145,#REF!,0))</f>
        <v>#REF!</v>
      </c>
      <c r="N153" s="38" t="e">
        <f>INDEX(#REF!,MATCH(N$145,#REF!,0))</f>
        <v>#REF!</v>
      </c>
      <c r="O153" s="38" t="e">
        <f>INDEX(#REF!,MATCH(O$145,#REF!,0))</f>
        <v>#REF!</v>
      </c>
      <c r="P153" s="38" t="e">
        <f>INDEX(#REF!,MATCH(P$145,#REF!,0))</f>
        <v>#REF!</v>
      </c>
      <c r="Q153" s="38" t="e">
        <f>INDEX(#REF!,MATCH(Q$145,#REF!,0))</f>
        <v>#REF!</v>
      </c>
      <c r="R153" s="38" t="e">
        <f>INDEX(#REF!,MATCH(R$145,#REF!,0))</f>
        <v>#REF!</v>
      </c>
      <c r="S153" s="38" t="e">
        <f>INDEX(#REF!,MATCH(S$145,#REF!,0))</f>
        <v>#REF!</v>
      </c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22.5" hidden="1" customHeight="1" outlineLevel="1" x14ac:dyDescent="0.35">
      <c r="A154" s="15"/>
      <c r="B154" s="4" t="s">
        <v>214</v>
      </c>
      <c r="C154" s="4" t="s">
        <v>85</v>
      </c>
      <c r="D154" s="38" t="e">
        <f>INDEX(#REF!,MATCH(D$145,#REF!,0))</f>
        <v>#REF!</v>
      </c>
      <c r="E154" s="38" t="e">
        <f>INDEX(#REF!,MATCH(E$145,#REF!,0))</f>
        <v>#REF!</v>
      </c>
      <c r="F154" s="38" t="e">
        <f>INDEX(#REF!,MATCH(F$145,#REF!,0))</f>
        <v>#REF!</v>
      </c>
      <c r="G154" s="38" t="e">
        <f>INDEX(#REF!,MATCH(G$145,#REF!,0))</f>
        <v>#REF!</v>
      </c>
      <c r="H154" s="38" t="e">
        <f>INDEX(#REF!,MATCH(H$145,#REF!,0))</f>
        <v>#REF!</v>
      </c>
      <c r="I154" s="38" t="e">
        <f>INDEX(#REF!,MATCH(I$145,#REF!,0))</f>
        <v>#REF!</v>
      </c>
      <c r="J154" s="38" t="e">
        <f>INDEX(#REF!,MATCH(J$145,#REF!,0))</f>
        <v>#REF!</v>
      </c>
      <c r="K154" s="38" t="e">
        <f>INDEX(#REF!,MATCH(K$145,#REF!,0))</f>
        <v>#REF!</v>
      </c>
      <c r="L154" s="38" t="e">
        <f>INDEX(#REF!,MATCH(L$145,#REF!,0))</f>
        <v>#REF!</v>
      </c>
      <c r="M154" s="38" t="e">
        <f>INDEX(#REF!,MATCH(M$145,#REF!,0))</f>
        <v>#REF!</v>
      </c>
      <c r="N154" s="38" t="e">
        <f>INDEX(#REF!,MATCH(N$145,#REF!,0))</f>
        <v>#REF!</v>
      </c>
      <c r="O154" s="38" t="e">
        <f>INDEX(#REF!,MATCH(O$145,#REF!,0))</f>
        <v>#REF!</v>
      </c>
      <c r="P154" s="38" t="e">
        <f>INDEX(#REF!,MATCH(P$145,#REF!,0))</f>
        <v>#REF!</v>
      </c>
      <c r="Q154" s="38" t="e">
        <f>INDEX(#REF!,MATCH(Q$145,#REF!,0))</f>
        <v>#REF!</v>
      </c>
      <c r="R154" s="38" t="e">
        <f>INDEX(#REF!,MATCH(R$145,#REF!,0))</f>
        <v>#REF!</v>
      </c>
      <c r="S154" s="38" t="e">
        <f>INDEX(#REF!,MATCH(S$145,#REF!,0))</f>
        <v>#REF!</v>
      </c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22.5" hidden="1" customHeight="1" outlineLevel="1" x14ac:dyDescent="0.35">
      <c r="A155" s="15"/>
      <c r="B155" s="4" t="s">
        <v>370</v>
      </c>
      <c r="C155" s="4" t="s">
        <v>85</v>
      </c>
      <c r="D155" s="38" t="e">
        <f>INDEX(#REF!,MATCH(D$145,#REF!,0))</f>
        <v>#REF!</v>
      </c>
      <c r="E155" s="38" t="e">
        <f>INDEX(#REF!,MATCH(E$145,#REF!,0))</f>
        <v>#REF!</v>
      </c>
      <c r="F155" s="38" t="e">
        <f>INDEX(#REF!,MATCH(F$145,#REF!,0))</f>
        <v>#REF!</v>
      </c>
      <c r="G155" s="38" t="e">
        <f>INDEX(#REF!,MATCH(G$145,#REF!,0))</f>
        <v>#REF!</v>
      </c>
      <c r="H155" s="38" t="e">
        <f>INDEX(#REF!,MATCH(H$145,#REF!,0))</f>
        <v>#REF!</v>
      </c>
      <c r="I155" s="38" t="e">
        <f>INDEX(#REF!,MATCH(I$145,#REF!,0))</f>
        <v>#REF!</v>
      </c>
      <c r="J155" s="38" t="e">
        <f>INDEX(#REF!,MATCH(J$145,#REF!,0))</f>
        <v>#REF!</v>
      </c>
      <c r="K155" s="38" t="e">
        <f>INDEX(#REF!,MATCH(K$145,#REF!,0))</f>
        <v>#REF!</v>
      </c>
      <c r="L155" s="38" t="e">
        <f>INDEX(#REF!,MATCH(L$145,#REF!,0))</f>
        <v>#REF!</v>
      </c>
      <c r="M155" s="38" t="e">
        <f>INDEX(#REF!,MATCH(M$145,#REF!,0))</f>
        <v>#REF!</v>
      </c>
      <c r="N155" s="38" t="e">
        <f>INDEX(#REF!,MATCH(N$145,#REF!,0))</f>
        <v>#REF!</v>
      </c>
      <c r="O155" s="38" t="e">
        <f>INDEX(#REF!,MATCH(O$145,#REF!,0))</f>
        <v>#REF!</v>
      </c>
      <c r="P155" s="38" t="e">
        <f>INDEX(#REF!,MATCH(P$145,#REF!,0))</f>
        <v>#REF!</v>
      </c>
      <c r="Q155" s="38" t="e">
        <f>INDEX(#REF!,MATCH(Q$145,#REF!,0))</f>
        <v>#REF!</v>
      </c>
      <c r="R155" s="38" t="e">
        <f>INDEX(#REF!,MATCH(R$145,#REF!,0))</f>
        <v>#REF!</v>
      </c>
      <c r="S155" s="38" t="e">
        <f>INDEX(#REF!,MATCH(S$145,#REF!,0))</f>
        <v>#REF!</v>
      </c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22.5" hidden="1" customHeight="1" outlineLevel="1" x14ac:dyDescent="0.35">
      <c r="A156" s="15"/>
      <c r="B156" s="4" t="s">
        <v>89</v>
      </c>
      <c r="C156" s="4" t="s">
        <v>85</v>
      </c>
      <c r="D156" s="38" t="e">
        <f>INDEX(#REF!,MATCH(D$145,#REF!,0))</f>
        <v>#REF!</v>
      </c>
      <c r="E156" s="38" t="e">
        <f>INDEX(#REF!,MATCH(E$145,#REF!,0))</f>
        <v>#REF!</v>
      </c>
      <c r="F156" s="38" t="e">
        <f>INDEX(#REF!,MATCH(F$145,#REF!,0))</f>
        <v>#REF!</v>
      </c>
      <c r="G156" s="38" t="e">
        <f>INDEX(#REF!,MATCH(G$145,#REF!,0))</f>
        <v>#REF!</v>
      </c>
      <c r="H156" s="38" t="e">
        <f>INDEX(#REF!,MATCH(H$145,#REF!,0))</f>
        <v>#REF!</v>
      </c>
      <c r="I156" s="38" t="e">
        <f>INDEX(#REF!,MATCH(I$145,#REF!,0))</f>
        <v>#REF!</v>
      </c>
      <c r="J156" s="38" t="e">
        <f>INDEX(#REF!,MATCH(J$145,#REF!,0))</f>
        <v>#REF!</v>
      </c>
      <c r="K156" s="38" t="e">
        <f>INDEX(#REF!,MATCH(K$145,#REF!,0))</f>
        <v>#REF!</v>
      </c>
      <c r="L156" s="38" t="e">
        <f>INDEX(#REF!,MATCH(L$145,#REF!,0))</f>
        <v>#REF!</v>
      </c>
      <c r="M156" s="38" t="e">
        <f>INDEX(#REF!,MATCH(M$145,#REF!,0))</f>
        <v>#REF!</v>
      </c>
      <c r="N156" s="38" t="e">
        <f>INDEX(#REF!,MATCH(N$145,#REF!,0))</f>
        <v>#REF!</v>
      </c>
      <c r="O156" s="38" t="e">
        <f>INDEX(#REF!,MATCH(O$145,#REF!,0))</f>
        <v>#REF!</v>
      </c>
      <c r="P156" s="38" t="e">
        <f>INDEX(#REF!,MATCH(P$145,#REF!,0))</f>
        <v>#REF!</v>
      </c>
      <c r="Q156" s="38" t="e">
        <f>INDEX(#REF!,MATCH(Q$145,#REF!,0))</f>
        <v>#REF!</v>
      </c>
      <c r="R156" s="38" t="e">
        <f>INDEX(#REF!,MATCH(R$145,#REF!,0))</f>
        <v>#REF!</v>
      </c>
      <c r="S156" s="38" t="e">
        <f>INDEX(#REF!,MATCH(S$145,#REF!,0))</f>
        <v>#REF!</v>
      </c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22.5" hidden="1" customHeight="1" outlineLevel="1" x14ac:dyDescent="0.35">
      <c r="A157" s="15"/>
      <c r="B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28.5" hidden="1" customHeight="1" collapsed="1" x14ac:dyDescent="0.35">
      <c r="A158" s="35"/>
      <c r="B158" s="29" t="s">
        <v>409</v>
      </c>
      <c r="C158" s="19"/>
      <c r="D158" s="19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6"/>
    </row>
    <row r="159" spans="1:33" ht="22.5" hidden="1" customHeight="1" outlineLevel="1" x14ac:dyDescent="0.35">
      <c r="A159" s="15"/>
      <c r="B159" s="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22.5" hidden="1" customHeight="1" outlineLevel="1" x14ac:dyDescent="0.35">
      <c r="A160" s="15"/>
      <c r="B160" s="4" t="s">
        <v>154</v>
      </c>
      <c r="C160" s="4" t="s">
        <v>4</v>
      </c>
      <c r="D160" s="123"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22.5" hidden="1" customHeight="1" outlineLevel="1" x14ac:dyDescent="0.35">
      <c r="A161" s="15"/>
      <c r="B161" s="4" t="s">
        <v>236</v>
      </c>
      <c r="C161" s="4" t="s">
        <v>4</v>
      </c>
      <c r="D161" s="123"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22.5" hidden="1" customHeight="1" outlineLevel="1" x14ac:dyDescent="0.35">
      <c r="A162" s="15"/>
      <c r="B162" s="4" t="s">
        <v>345</v>
      </c>
      <c r="C162" s="4" t="s">
        <v>5</v>
      </c>
      <c r="D162" s="123"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22.5" hidden="1" customHeight="1" outlineLevel="1" x14ac:dyDescent="0.35">
      <c r="A163" s="15"/>
      <c r="B163" s="4"/>
      <c r="D163" s="30" t="s">
        <v>134</v>
      </c>
      <c r="E163" s="30" t="s">
        <v>133</v>
      </c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22.5" hidden="1" customHeight="1" outlineLevel="1" x14ac:dyDescent="0.35">
      <c r="A164" s="15"/>
      <c r="B164" s="4" t="s">
        <v>251</v>
      </c>
      <c r="C164" s="4" t="s">
        <v>5</v>
      </c>
      <c r="D164" s="123">
        <v>0</v>
      </c>
      <c r="E164" s="12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22.5" hidden="1" customHeight="1" outlineLevel="1" x14ac:dyDescent="0.35">
      <c r="A165" s="15"/>
      <c r="B165" s="4"/>
      <c r="C165" s="4" t="s">
        <v>135</v>
      </c>
      <c r="D165" s="149">
        <f>IF(WaterCarryoverOpeningML&gt;0,AssetsCarryoverWaterOpening/WaterCarryoverOpeningML,0)</f>
        <v>0</v>
      </c>
      <c r="E165" s="149">
        <f>IF(WaterCarryoverClosingML&gt;0,AssetsCarryoverWaterClosing/WaterCarryoverClosingML,0)</f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22.5" hidden="1" customHeight="1" outlineLevel="1" x14ac:dyDescent="0.35">
      <c r="A166" s="15"/>
      <c r="B166" s="4"/>
      <c r="C166" s="4" t="s">
        <v>359</v>
      </c>
      <c r="D166" s="149">
        <f>AssetsCarryoverWaterOpening</f>
        <v>0</v>
      </c>
      <c r="E166" s="149">
        <f>AssetsCarryoverWaterClosing</f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22.5" hidden="1" customHeight="1" outlineLevel="1" x14ac:dyDescent="0.35">
      <c r="A167" s="15"/>
      <c r="B167" s="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28.5" hidden="1" customHeight="1" collapsed="1" x14ac:dyDescent="0.35">
      <c r="A168" s="35"/>
      <c r="B168" s="29" t="s">
        <v>40</v>
      </c>
      <c r="C168" s="19"/>
      <c r="D168" s="19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6"/>
    </row>
    <row r="169" spans="1:33" ht="21.75" hidden="1" customHeight="1" outlineLevel="1" x14ac:dyDescent="0.5">
      <c r="A169" s="92"/>
      <c r="B169" s="86"/>
      <c r="C169" s="43"/>
      <c r="D169" s="138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1"/>
    </row>
    <row r="170" spans="1:33" ht="22.5" hidden="1" customHeight="1" outlineLevel="1" x14ac:dyDescent="0.35">
      <c r="A170" s="15"/>
      <c r="B170" s="4" t="s">
        <v>235</v>
      </c>
      <c r="C170" s="4" t="s">
        <v>415</v>
      </c>
      <c r="D170" s="164">
        <v>1.7037780503822657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22.5" hidden="1" customHeight="1" outlineLevel="1" x14ac:dyDescent="0.35">
      <c r="A171" s="15"/>
      <c r="B171" s="4" t="s">
        <v>68</v>
      </c>
      <c r="C171" s="4" t="s">
        <v>52</v>
      </c>
      <c r="D171" s="164">
        <v>1.137498189822705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22.5" hidden="1" customHeight="1" outlineLevel="1" x14ac:dyDescent="0.35">
      <c r="A172" s="15"/>
      <c r="B172" s="4" t="s">
        <v>50</v>
      </c>
      <c r="C172" s="4" t="s">
        <v>52</v>
      </c>
      <c r="D172" s="193">
        <f>LabourFteEmployed+LabourFteOwner</f>
        <v>2.8412762402049707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22.5" hidden="1" customHeight="1" outlineLevel="1" x14ac:dyDescent="0.35">
      <c r="A173" s="211"/>
      <c r="B173" s="194" t="s">
        <v>167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2"/>
    </row>
    <row r="174" spans="1:33" ht="22.5" hidden="1" customHeight="1" outlineLevel="1" x14ac:dyDescent="0.35">
      <c r="A174" s="211"/>
      <c r="B174" s="19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2"/>
    </row>
    <row r="175" spans="1:33" ht="28.5" customHeight="1" x14ac:dyDescent="0.35">
      <c r="A175" s="69"/>
      <c r="B175" s="76" t="s">
        <v>205</v>
      </c>
      <c r="C175" s="57"/>
      <c r="D175" s="57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73"/>
    </row>
    <row r="176" spans="1:33" ht="24.75" customHeight="1" outlineLevel="1" x14ac:dyDescent="0.35">
      <c r="A176" s="15"/>
      <c r="B176" s="4"/>
    </row>
    <row r="177" spans="1:33" ht="22.5" customHeight="1" outlineLevel="1" x14ac:dyDescent="0.35">
      <c r="A177" s="15"/>
      <c r="B177" s="4" t="s">
        <v>401</v>
      </c>
      <c r="C177" s="4" t="s">
        <v>158</v>
      </c>
      <c r="D177" s="27">
        <v>806454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22.5" customHeight="1" outlineLevel="1" x14ac:dyDescent="0.35">
      <c r="A178" s="15"/>
      <c r="B178" s="4" t="s">
        <v>2</v>
      </c>
      <c r="C178" s="4" t="s">
        <v>158</v>
      </c>
      <c r="D178" s="27">
        <v>45000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22.5" customHeight="1" outlineLevel="1" x14ac:dyDescent="0.35">
      <c r="A179" s="15"/>
      <c r="B179" s="4" t="s">
        <v>402</v>
      </c>
      <c r="C179" s="4" t="s">
        <v>158</v>
      </c>
      <c r="D179" s="27"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22.5" customHeight="1" outlineLevel="1" x14ac:dyDescent="0.35">
      <c r="A180" s="15"/>
      <c r="B180" s="4" t="s">
        <v>358</v>
      </c>
      <c r="C180" s="4" t="s">
        <v>158</v>
      </c>
      <c r="D180" s="27"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22.5" customHeight="1" outlineLevel="1" x14ac:dyDescent="0.35">
      <c r="A181" s="15"/>
      <c r="B181" s="4" t="s">
        <v>243</v>
      </c>
      <c r="C181" s="4" t="s">
        <v>158</v>
      </c>
      <c r="D181" s="65">
        <f>SUM(D177:D179)</f>
        <v>851454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22.5" customHeight="1" outlineLevel="1" x14ac:dyDescent="0.35">
      <c r="A182" s="15"/>
      <c r="B182" s="4"/>
      <c r="D182" s="20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22.5" customHeight="1" outlineLevel="1" x14ac:dyDescent="0.35">
      <c r="A183" s="15"/>
      <c r="B183" s="4" t="s">
        <v>380</v>
      </c>
      <c r="C183" s="4" t="s">
        <v>158</v>
      </c>
      <c r="D183" s="27">
        <v>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22.5" customHeight="1" outlineLevel="1" x14ac:dyDescent="0.35">
      <c r="A184" s="15"/>
      <c r="B184" s="4" t="s">
        <v>176</v>
      </c>
      <c r="C184" s="4" t="s">
        <v>158</v>
      </c>
      <c r="D184" s="27">
        <v>2971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22.5" customHeight="1" outlineLevel="1" x14ac:dyDescent="0.35">
      <c r="A185" s="15"/>
      <c r="B185" s="4" t="s">
        <v>111</v>
      </c>
      <c r="C185" s="4" t="s">
        <v>158</v>
      </c>
      <c r="D185" s="65">
        <f>IncomeNonFarm+IncomeFarmOther</f>
        <v>2971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22.5" customHeight="1" outlineLevel="1" x14ac:dyDescent="0.35">
      <c r="A186" s="15"/>
      <c r="B186" s="4"/>
      <c r="D186" s="175"/>
    </row>
    <row r="187" spans="1:33" ht="28.5" customHeight="1" x14ac:dyDescent="0.35">
      <c r="A187" s="69"/>
      <c r="B187" s="76" t="s">
        <v>138</v>
      </c>
      <c r="C187" s="57"/>
      <c r="D187" s="13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73"/>
    </row>
    <row r="188" spans="1:33" ht="39.75" customHeight="1" outlineLevel="1" x14ac:dyDescent="0.35">
      <c r="A188" s="33"/>
      <c r="B188" s="31" t="s">
        <v>264</v>
      </c>
      <c r="C188" s="43"/>
      <c r="D188" s="7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22.5" customHeight="1" outlineLevel="1" x14ac:dyDescent="0.35">
      <c r="A189" s="15"/>
      <c r="B189" s="4" t="s">
        <v>70</v>
      </c>
      <c r="C189" s="4" t="s">
        <v>158</v>
      </c>
      <c r="D189" s="27">
        <v>9066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22.5" customHeight="1" outlineLevel="1" x14ac:dyDescent="0.35">
      <c r="A190" s="15"/>
      <c r="B190" s="4" t="s">
        <v>156</v>
      </c>
      <c r="C190" s="4" t="s">
        <v>158</v>
      </c>
      <c r="D190" s="27">
        <v>13687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22.5" customHeight="1" outlineLevel="1" x14ac:dyDescent="0.35">
      <c r="A191" s="15"/>
      <c r="B191" s="4" t="s">
        <v>177</v>
      </c>
      <c r="C191" s="4" t="s">
        <v>158</v>
      </c>
      <c r="D191" s="27">
        <v>3146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22.5" customHeight="1" outlineLevel="1" x14ac:dyDescent="0.35">
      <c r="A192" s="15"/>
      <c r="B192" s="4" t="s">
        <v>71</v>
      </c>
      <c r="C192" s="4" t="s">
        <v>158</v>
      </c>
      <c r="D192" s="27">
        <v>0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22.5" customHeight="1" outlineLevel="1" x14ac:dyDescent="0.35">
      <c r="A193" s="15"/>
      <c r="B193" s="4" t="s">
        <v>47</v>
      </c>
      <c r="C193" s="4" t="s">
        <v>158</v>
      </c>
      <c r="D193" s="65">
        <f>SUM(D189:D192)</f>
        <v>25899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36" customHeight="1" outlineLevel="1" x14ac:dyDescent="0.35">
      <c r="A194" s="33"/>
      <c r="B194" s="31" t="s">
        <v>206</v>
      </c>
      <c r="C194" s="43"/>
      <c r="D194" s="7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22.5" customHeight="1" outlineLevel="1" x14ac:dyDescent="0.35">
      <c r="A195" s="15"/>
      <c r="B195" s="4" t="s">
        <v>346</v>
      </c>
      <c r="C195" s="4" t="s">
        <v>158</v>
      </c>
      <c r="D195" s="27">
        <v>18090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22.5" customHeight="1" outlineLevel="1" x14ac:dyDescent="0.35">
      <c r="A196" s="15"/>
      <c r="B196" s="4" t="s">
        <v>381</v>
      </c>
      <c r="C196" s="4" t="s">
        <v>158</v>
      </c>
      <c r="D196" s="27">
        <v>10850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22.5" customHeight="1" outlineLevel="1" x14ac:dyDescent="0.35">
      <c r="A197" s="15"/>
      <c r="B197" s="4" t="s">
        <v>3</v>
      </c>
      <c r="C197" s="4" t="s">
        <v>158</v>
      </c>
      <c r="D197" s="27"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22.5" customHeight="1" outlineLevel="1" x14ac:dyDescent="0.35">
      <c r="A198" s="15"/>
      <c r="B198" s="4" t="s">
        <v>164</v>
      </c>
      <c r="D198" s="65">
        <f>SUM(D195:D197)</f>
        <v>28940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33.75" customHeight="1" outlineLevel="1" x14ac:dyDescent="0.35">
      <c r="A199" s="33"/>
      <c r="B199" s="31" t="s">
        <v>76</v>
      </c>
      <c r="C199" s="43"/>
      <c r="D199" s="7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22.5" customHeight="1" outlineLevel="1" x14ac:dyDescent="0.35">
      <c r="A200" s="15"/>
      <c r="B200" s="4" t="s">
        <v>155</v>
      </c>
      <c r="C200" s="4" t="s">
        <v>158</v>
      </c>
      <c r="D200" s="27">
        <v>59065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22.5" customHeight="1" outlineLevel="1" x14ac:dyDescent="0.35">
      <c r="A201" s="15"/>
      <c r="B201" s="4" t="s">
        <v>65</v>
      </c>
      <c r="C201" s="4" t="s">
        <v>158</v>
      </c>
      <c r="D201" s="27">
        <v>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22.5" customHeight="1" outlineLevel="1" x14ac:dyDescent="0.35">
      <c r="A202" s="15"/>
      <c r="B202" s="4" t="s">
        <v>229</v>
      </c>
      <c r="C202" s="4" t="s">
        <v>158</v>
      </c>
      <c r="D202" s="27">
        <v>15687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22.5" customHeight="1" outlineLevel="1" x14ac:dyDescent="0.35">
      <c r="A203" s="15"/>
      <c r="B203" s="4" t="s">
        <v>283</v>
      </c>
      <c r="C203" s="4" t="s">
        <v>158</v>
      </c>
      <c r="D203" s="27">
        <v>8545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22.5" customHeight="1" outlineLevel="1" x14ac:dyDescent="0.35">
      <c r="A204" s="15"/>
      <c r="B204" s="4" t="s">
        <v>36</v>
      </c>
      <c r="C204" s="4" t="s">
        <v>158</v>
      </c>
      <c r="D204" s="27">
        <v>34469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22.5" customHeight="1" outlineLevel="1" x14ac:dyDescent="0.35">
      <c r="A205" s="15"/>
      <c r="B205" s="4" t="s">
        <v>382</v>
      </c>
      <c r="C205" s="4" t="s">
        <v>158</v>
      </c>
      <c r="D205" s="27">
        <v>170149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22.5" customHeight="1" outlineLevel="1" x14ac:dyDescent="0.35">
      <c r="A206" s="15"/>
      <c r="B206" s="4" t="s">
        <v>347</v>
      </c>
      <c r="C206" s="4" t="s">
        <v>158</v>
      </c>
      <c r="D206" s="27">
        <v>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22.5" customHeight="1" outlineLevel="1" x14ac:dyDescent="0.35">
      <c r="A207" s="15"/>
      <c r="B207" s="4" t="s">
        <v>137</v>
      </c>
      <c r="C207" s="4" t="s">
        <v>158</v>
      </c>
      <c r="D207" s="27">
        <v>3593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22.5" customHeight="1" outlineLevel="1" x14ac:dyDescent="0.35">
      <c r="A208" s="15"/>
      <c r="B208" s="4" t="s">
        <v>284</v>
      </c>
      <c r="C208" s="4" t="s">
        <v>158</v>
      </c>
      <c r="D208" s="27">
        <v>7594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22.5" customHeight="1" outlineLevel="1" x14ac:dyDescent="0.35">
      <c r="A209" s="15"/>
      <c r="B209" s="4" t="s">
        <v>403</v>
      </c>
      <c r="C209" s="4" t="s">
        <v>158</v>
      </c>
      <c r="D209" s="27">
        <v>0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22.5" customHeight="1" outlineLevel="1" x14ac:dyDescent="0.35">
      <c r="A210" s="15"/>
      <c r="B210" s="4" t="s">
        <v>312</v>
      </c>
      <c r="C210" s="4" t="s">
        <v>158</v>
      </c>
      <c r="D210" s="27">
        <v>0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22.5" customHeight="1" outlineLevel="1" x14ac:dyDescent="0.35">
      <c r="A211" s="15"/>
      <c r="B211" s="4" t="s">
        <v>369</v>
      </c>
      <c r="C211" s="4" t="s">
        <v>158</v>
      </c>
      <c r="D211" s="65">
        <f>SUM(D200:D210)</f>
        <v>299102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22.5" customHeight="1" outlineLevel="1" x14ac:dyDescent="0.35">
      <c r="A212" s="15"/>
      <c r="B212" s="4"/>
      <c r="C212" s="1"/>
      <c r="D212" s="2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28.5" customHeight="1" x14ac:dyDescent="0.35">
      <c r="A213" s="69"/>
      <c r="B213" s="76" t="s">
        <v>159</v>
      </c>
      <c r="C213" s="57"/>
      <c r="D213" s="13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73"/>
    </row>
    <row r="214" spans="1:33" ht="34.5" customHeight="1" outlineLevel="1" x14ac:dyDescent="0.35">
      <c r="A214" s="33"/>
      <c r="B214" s="31" t="s">
        <v>139</v>
      </c>
      <c r="C214" s="43"/>
      <c r="D214" s="7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22.5" customHeight="1" outlineLevel="1" x14ac:dyDescent="0.35">
      <c r="A215" s="15"/>
      <c r="B215" s="4" t="s">
        <v>255</v>
      </c>
      <c r="C215" s="4" t="s">
        <v>158</v>
      </c>
      <c r="D215" s="27">
        <v>3113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22.5" customHeight="1" outlineLevel="1" x14ac:dyDescent="0.35">
      <c r="A216" s="15"/>
      <c r="B216" s="4" t="s">
        <v>253</v>
      </c>
      <c r="C216" s="4" t="s">
        <v>158</v>
      </c>
      <c r="D216" s="27">
        <v>8808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22.5" customHeight="1" outlineLevel="1" x14ac:dyDescent="0.35">
      <c r="A217" s="15"/>
      <c r="B217" s="4" t="s">
        <v>311</v>
      </c>
      <c r="C217" s="4" t="s">
        <v>158</v>
      </c>
      <c r="D217" s="27">
        <v>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22.5" customHeight="1" outlineLevel="1" x14ac:dyDescent="0.35">
      <c r="A218" s="15"/>
      <c r="B218" s="4" t="s">
        <v>256</v>
      </c>
      <c r="C218" s="4" t="s">
        <v>158</v>
      </c>
      <c r="D218" s="27">
        <v>20610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22.5" customHeight="1" outlineLevel="1" x14ac:dyDescent="0.35">
      <c r="A219" s="15"/>
      <c r="B219" s="4" t="s">
        <v>317</v>
      </c>
      <c r="C219" s="4" t="s">
        <v>158</v>
      </c>
      <c r="D219" s="27">
        <v>110000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22.5" customHeight="1" outlineLevel="1" x14ac:dyDescent="0.35">
      <c r="A220" s="15"/>
      <c r="B220" s="4" t="s">
        <v>257</v>
      </c>
      <c r="C220" s="4" t="s">
        <v>158</v>
      </c>
      <c r="D220" s="27">
        <v>8936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22.5" customHeight="1" outlineLevel="1" x14ac:dyDescent="0.35">
      <c r="A221" s="15"/>
      <c r="B221" s="4" t="s">
        <v>21</v>
      </c>
      <c r="C221" s="4" t="s">
        <v>158</v>
      </c>
      <c r="D221" s="65">
        <v>151467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s="220" customFormat="1" ht="22.5" customHeight="1" outlineLevel="1" x14ac:dyDescent="0.5">
      <c r="A222" s="218"/>
      <c r="B222" s="213" t="s">
        <v>428</v>
      </c>
      <c r="C222" s="214"/>
      <c r="D222" s="215"/>
      <c r="E222" s="219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19"/>
    </row>
    <row r="223" spans="1:33" ht="36" customHeight="1" outlineLevel="1" x14ac:dyDescent="0.35">
      <c r="A223" s="33"/>
      <c r="B223" s="4" t="s">
        <v>429</v>
      </c>
      <c r="C223" s="4" t="s">
        <v>158</v>
      </c>
      <c r="D223" s="216">
        <v>-8900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22.5" customHeight="1" outlineLevel="1" x14ac:dyDescent="0.35">
      <c r="A224" s="15"/>
      <c r="B224" s="4" t="s">
        <v>430</v>
      </c>
      <c r="C224" s="4" t="s">
        <v>158</v>
      </c>
      <c r="D224" s="217">
        <v>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22.5" customHeight="1" outlineLevel="1" x14ac:dyDescent="0.35">
      <c r="A225" s="15"/>
      <c r="B225" s="4" t="s">
        <v>431</v>
      </c>
      <c r="D225" s="216">
        <v>3600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22.5" customHeight="1" outlineLevel="1" x14ac:dyDescent="0.35">
      <c r="A226" s="15"/>
      <c r="B226" s="4" t="s">
        <v>69</v>
      </c>
      <c r="C226" s="4" t="s">
        <v>158</v>
      </c>
      <c r="D226" s="27">
        <v>25000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22.5" customHeight="1" outlineLevel="1" x14ac:dyDescent="0.35">
      <c r="A227" s="15"/>
      <c r="B227" s="4" t="s">
        <v>301</v>
      </c>
      <c r="C227" s="4" t="s">
        <v>158</v>
      </c>
      <c r="D227" s="27">
        <v>87360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28.5" customHeight="1" x14ac:dyDescent="0.35">
      <c r="A228" s="69"/>
      <c r="B228" s="76" t="s">
        <v>106</v>
      </c>
      <c r="C228" s="57"/>
      <c r="D228" s="57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73"/>
    </row>
    <row r="229" spans="1:33" ht="33" customHeight="1" outlineLevel="1" x14ac:dyDescent="0.35">
      <c r="A229" s="33"/>
      <c r="B229" s="31" t="s">
        <v>8</v>
      </c>
      <c r="C229" s="43"/>
      <c r="D229" s="138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1"/>
    </row>
    <row r="230" spans="1:33" ht="22.5" customHeight="1" outlineLevel="1" x14ac:dyDescent="0.35">
      <c r="A230" s="15"/>
      <c r="B230" s="4" t="s">
        <v>313</v>
      </c>
      <c r="C230" s="4" t="s">
        <v>158</v>
      </c>
      <c r="D230" s="27">
        <v>35687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22.5" customHeight="1" outlineLevel="1" x14ac:dyDescent="0.35">
      <c r="A231" s="15"/>
      <c r="B231" s="4" t="s">
        <v>37</v>
      </c>
      <c r="C231" s="4" t="s">
        <v>158</v>
      </c>
      <c r="D231" s="27">
        <v>56234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22.5" customHeight="1" outlineLevel="1" x14ac:dyDescent="0.35">
      <c r="A232" s="15"/>
      <c r="B232" s="4" t="s">
        <v>299</v>
      </c>
      <c r="C232" s="4" t="s">
        <v>158</v>
      </c>
      <c r="D232" s="65">
        <f>ExpenseInterest+ExpenseLease</f>
        <v>91921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29.25" customHeight="1" outlineLevel="1" x14ac:dyDescent="0.35">
      <c r="A233" s="33"/>
      <c r="B233" s="31" t="s">
        <v>38</v>
      </c>
      <c r="C233" s="43"/>
      <c r="D233" s="7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1"/>
    </row>
    <row r="234" spans="1:33" ht="22.5" customHeight="1" outlineLevel="1" x14ac:dyDescent="0.35">
      <c r="A234" s="15"/>
      <c r="B234" s="4" t="s">
        <v>157</v>
      </c>
      <c r="C234" s="4" t="s">
        <v>158</v>
      </c>
      <c r="D234" s="27">
        <v>10000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22.5" customHeight="1" outlineLevel="1" x14ac:dyDescent="0.35">
      <c r="A235" s="15"/>
      <c r="B235" s="4" t="s">
        <v>38</v>
      </c>
      <c r="C235" s="4" t="s">
        <v>158</v>
      </c>
      <c r="D235" s="27">
        <v>250000</v>
      </c>
      <c r="E235" s="1"/>
    </row>
    <row r="236" spans="1:33" ht="30.75" customHeight="1" outlineLevel="1" x14ac:dyDescent="0.35">
      <c r="A236" s="33"/>
      <c r="B236" s="31" t="s">
        <v>244</v>
      </c>
      <c r="C236" s="43"/>
      <c r="D236" s="7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22.5" customHeight="1" outlineLevel="1" x14ac:dyDescent="0.35">
      <c r="A237" s="15"/>
      <c r="B237" s="4" t="s">
        <v>383</v>
      </c>
      <c r="C237" s="4" t="s">
        <v>158</v>
      </c>
      <c r="D237" s="27">
        <v>0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22.5" customHeight="1" outlineLevel="1" x14ac:dyDescent="0.35">
      <c r="A238" s="15"/>
      <c r="B238" s="4" t="s">
        <v>404</v>
      </c>
      <c r="C238" s="4" t="s">
        <v>158</v>
      </c>
      <c r="D238" s="27">
        <v>50000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22.5" customHeight="1" outlineLevel="1" x14ac:dyDescent="0.35">
      <c r="A239" s="15"/>
      <c r="B239" s="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28.5" hidden="1" customHeight="1" collapsed="1" x14ac:dyDescent="0.35">
      <c r="A240" s="69"/>
      <c r="B240" s="76" t="s">
        <v>105</v>
      </c>
      <c r="C240" s="57"/>
      <c r="D240" s="57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73"/>
    </row>
    <row r="241" spans="1:33" ht="34.5" hidden="1" customHeight="1" outlineLevel="1" x14ac:dyDescent="0.35">
      <c r="A241" s="117"/>
      <c r="B241" s="31" t="s">
        <v>289</v>
      </c>
      <c r="C241" s="18"/>
      <c r="D241" s="58" t="s">
        <v>182</v>
      </c>
      <c r="E241" s="58" t="s">
        <v>362</v>
      </c>
      <c r="F241" s="58" t="s">
        <v>290</v>
      </c>
      <c r="G241" s="18"/>
      <c r="H241" s="18"/>
      <c r="I241" s="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</row>
    <row r="242" spans="1:33" ht="22.5" hidden="1" customHeight="1" outlineLevel="1" x14ac:dyDescent="0.35">
      <c r="A242" s="15"/>
      <c r="B242" s="4" t="s">
        <v>251</v>
      </c>
      <c r="C242" s="4" t="s">
        <v>158</v>
      </c>
      <c r="D242" s="98">
        <v>0</v>
      </c>
      <c r="E242" s="98">
        <v>0</v>
      </c>
      <c r="F242" s="83">
        <v>0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22.5" hidden="1" customHeight="1" outlineLevel="1" x14ac:dyDescent="0.35">
      <c r="A243" s="15"/>
      <c r="B243" s="4" t="s">
        <v>280</v>
      </c>
      <c r="C243" s="4" t="s">
        <v>158</v>
      </c>
      <c r="D243" s="27">
        <v>0</v>
      </c>
      <c r="E243" s="27">
        <v>0</v>
      </c>
      <c r="F243" s="83">
        <f>(D243+E243)/2</f>
        <v>0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33.75" hidden="1" customHeight="1" outlineLevel="1" x14ac:dyDescent="0.35">
      <c r="A244" s="15"/>
      <c r="B244" s="31" t="s">
        <v>12</v>
      </c>
      <c r="D244" s="68"/>
      <c r="E244" s="68"/>
      <c r="F244" s="68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22.5" hidden="1" customHeight="1" outlineLevel="1" x14ac:dyDescent="0.35">
      <c r="A245" s="15"/>
      <c r="B245" s="4" t="s">
        <v>287</v>
      </c>
      <c r="C245" s="4" t="s">
        <v>158</v>
      </c>
      <c r="D245" s="27">
        <v>0</v>
      </c>
      <c r="E245" s="27">
        <v>0</v>
      </c>
      <c r="F245" s="83">
        <f t="shared" ref="F245:F247" si="12">(D245+E245)/2</f>
        <v>0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22.5" hidden="1" customHeight="1" outlineLevel="1" x14ac:dyDescent="0.35">
      <c r="A246" s="15"/>
      <c r="B246" s="4" t="s">
        <v>9</v>
      </c>
      <c r="C246" s="4" t="s">
        <v>158</v>
      </c>
      <c r="D246" s="27">
        <v>0</v>
      </c>
      <c r="E246" s="27">
        <v>0</v>
      </c>
      <c r="F246" s="83">
        <f t="shared" si="12"/>
        <v>0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22.5" hidden="1" customHeight="1" outlineLevel="1" x14ac:dyDescent="0.35">
      <c r="A247" s="15"/>
      <c r="B247" s="4" t="s">
        <v>77</v>
      </c>
      <c r="C247" s="4" t="s">
        <v>158</v>
      </c>
      <c r="D247" s="27">
        <v>0</v>
      </c>
      <c r="E247" s="27">
        <v>0</v>
      </c>
      <c r="F247" s="83">
        <f t="shared" si="12"/>
        <v>0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22.5" hidden="1" customHeight="1" outlineLevel="1" x14ac:dyDescent="0.35">
      <c r="A248" s="15"/>
      <c r="B248" s="4"/>
      <c r="D248" s="67"/>
      <c r="E248" s="67"/>
      <c r="F248" s="6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22.5" hidden="1" customHeight="1" outlineLevel="1" x14ac:dyDescent="0.35">
      <c r="A249" s="15"/>
      <c r="B249" s="4" t="s">
        <v>11</v>
      </c>
      <c r="C249" s="4" t="s">
        <v>158</v>
      </c>
      <c r="D249" s="27">
        <v>0</v>
      </c>
      <c r="E249" s="27">
        <v>0</v>
      </c>
      <c r="F249" s="83">
        <f>(D249+E249)/2</f>
        <v>0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30.75" hidden="1" customHeight="1" outlineLevel="1" x14ac:dyDescent="0.35">
      <c r="A250" s="33"/>
      <c r="B250" s="31" t="s">
        <v>288</v>
      </c>
      <c r="C250" s="177"/>
      <c r="D250" s="107"/>
      <c r="E250" s="107"/>
      <c r="F250" s="107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</row>
    <row r="251" spans="1:33" ht="22.5" hidden="1" customHeight="1" outlineLevel="1" x14ac:dyDescent="0.35">
      <c r="A251" s="15"/>
      <c r="B251" s="4" t="s">
        <v>10</v>
      </c>
      <c r="C251" s="4" t="s">
        <v>158</v>
      </c>
      <c r="D251" s="27">
        <v>0</v>
      </c>
      <c r="E251" s="27">
        <v>0</v>
      </c>
      <c r="F251" s="83">
        <f t="shared" ref="F251:F253" si="13">(D251+E251)/2</f>
        <v>0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22.5" hidden="1" customHeight="1" outlineLevel="1" x14ac:dyDescent="0.35">
      <c r="A252" s="15"/>
      <c r="B252" s="4" t="s">
        <v>183</v>
      </c>
      <c r="C252" s="4" t="s">
        <v>158</v>
      </c>
      <c r="D252" s="27">
        <v>0</v>
      </c>
      <c r="E252" s="27">
        <v>0</v>
      </c>
      <c r="F252" s="83">
        <f t="shared" si="13"/>
        <v>0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22.5" hidden="1" customHeight="1" outlineLevel="1" x14ac:dyDescent="0.35">
      <c r="A253" s="15"/>
      <c r="B253" s="4" t="s">
        <v>288</v>
      </c>
      <c r="C253" s="4" t="s">
        <v>158</v>
      </c>
      <c r="D253" s="27">
        <v>0</v>
      </c>
      <c r="E253" s="27">
        <v>0</v>
      </c>
      <c r="F253" s="83">
        <f t="shared" si="13"/>
        <v>0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22.5" hidden="1" customHeight="1" outlineLevel="1" x14ac:dyDescent="0.35">
      <c r="A254" s="15"/>
      <c r="B254" s="4"/>
      <c r="C254" s="1"/>
      <c r="D254" s="67"/>
      <c r="E254" s="67"/>
      <c r="F254" s="67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28.5" hidden="1" customHeight="1" collapsed="1" x14ac:dyDescent="0.35">
      <c r="A255" s="69"/>
      <c r="B255" s="76" t="s">
        <v>265</v>
      </c>
      <c r="C255" s="57"/>
      <c r="D255" s="116"/>
      <c r="E255" s="116"/>
      <c r="F255" s="116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73"/>
    </row>
    <row r="256" spans="1:33" ht="36.75" hidden="1" customHeight="1" outlineLevel="1" x14ac:dyDescent="0.5">
      <c r="A256" s="92"/>
      <c r="B256" s="86"/>
      <c r="C256" s="43"/>
      <c r="D256" s="68" t="s">
        <v>182</v>
      </c>
      <c r="E256" s="68" t="s">
        <v>362</v>
      </c>
      <c r="F256" s="68" t="s">
        <v>290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22.5" hidden="1" customHeight="1" outlineLevel="1" x14ac:dyDescent="0.35">
      <c r="A257" s="15"/>
      <c r="B257" s="4" t="s">
        <v>207</v>
      </c>
      <c r="C257" s="4" t="s">
        <v>158</v>
      </c>
      <c r="D257" s="27">
        <v>0</v>
      </c>
      <c r="E257" s="27">
        <v>0</v>
      </c>
      <c r="F257" s="83">
        <f>(D257+E257)/2</f>
        <v>0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22.5" hidden="1" customHeight="1" outlineLevel="1" x14ac:dyDescent="0.35">
      <c r="A258" s="15"/>
      <c r="B258" s="4" t="s">
        <v>384</v>
      </c>
      <c r="C258" s="4" t="s">
        <v>158</v>
      </c>
      <c r="D258" s="27">
        <v>0</v>
      </c>
      <c r="E258" s="27">
        <v>0</v>
      </c>
      <c r="F258" s="83">
        <v>0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22.5" hidden="1" customHeight="1" outlineLevel="1" x14ac:dyDescent="0.35">
      <c r="A259" s="15"/>
      <c r="B259" s="4" t="s">
        <v>363</v>
      </c>
      <c r="C259" s="4" t="s">
        <v>158</v>
      </c>
      <c r="D259" s="27">
        <v>0</v>
      </c>
      <c r="E259" s="27">
        <v>0</v>
      </c>
      <c r="F259" s="83">
        <v>0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22.5" hidden="1" customHeight="1" outlineLevel="1" x14ac:dyDescent="0.35">
      <c r="A260" s="15"/>
      <c r="B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30" customHeight="1" x14ac:dyDescent="0.35">
      <c r="A261" s="74"/>
      <c r="B261" s="77" t="s">
        <v>328</v>
      </c>
      <c r="C261" s="41"/>
      <c r="D261" s="41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 spans="1:33" x14ac:dyDescent="0.35">
      <c r="B262" s="4"/>
      <c r="C262" s="34"/>
      <c r="D262"/>
    </row>
  </sheetData>
  <mergeCells count="4">
    <mergeCell ref="D12:F12"/>
    <mergeCell ref="D14:F14"/>
    <mergeCell ref="H14:K14"/>
    <mergeCell ref="D22:F22"/>
  </mergeCells>
  <conditionalFormatting sqref="D103:H115">
    <cfRule type="expression" dxfId="14" priority="16" stopIfTrue="1">
      <formula>$D$91="Annual"</formula>
    </cfRule>
  </conditionalFormatting>
  <conditionalFormatting sqref="D49:G61">
    <cfRule type="expression" dxfId="13" priority="19" stopIfTrue="1">
      <formula>$D$43="Annual"</formula>
    </cfRule>
  </conditionalFormatting>
  <conditionalFormatting sqref="D128:AG128">
    <cfRule type="expression" dxfId="12" priority="20" stopIfTrue="1">
      <formula>D121="Homegrown"</formula>
    </cfRule>
  </conditionalFormatting>
  <conditionalFormatting sqref="D129:AG129">
    <cfRule type="expression" dxfId="11" priority="21" stopIfTrue="1">
      <formula>D121="Homegrown"</formula>
    </cfRule>
  </conditionalFormatting>
  <conditionalFormatting sqref="D134:AG135">
    <cfRule type="expression" dxfId="10" priority="22" stopIfTrue="1">
      <formula>D$121="Purchased"</formula>
    </cfRule>
  </conditionalFormatting>
  <conditionalFormatting sqref="D81:H83">
    <cfRule type="expression" dxfId="9" priority="24" stopIfTrue="1">
      <formula>OR(D81&gt;52,D81&lt;0)</formula>
    </cfRule>
  </conditionalFormatting>
  <conditionalFormatting sqref="D125:AG125">
    <cfRule type="expression" dxfId="8" priority="15">
      <formula>D123="None"</formula>
    </cfRule>
  </conditionalFormatting>
  <conditionalFormatting sqref="D126:AG126">
    <cfRule type="expression" dxfId="7" priority="14">
      <formula>D123="None"</formula>
    </cfRule>
  </conditionalFormatting>
  <conditionalFormatting sqref="D127:AG127">
    <cfRule type="expression" dxfId="6" priority="13">
      <formula>D123="None"</formula>
    </cfRule>
  </conditionalFormatting>
  <conditionalFormatting sqref="D128:AG128">
    <cfRule type="expression" dxfId="5" priority="12">
      <formula>D123="None"</formula>
    </cfRule>
  </conditionalFormatting>
  <conditionalFormatting sqref="D129:AG129">
    <cfRule type="expression" dxfId="4" priority="11">
      <formula>D123="None"</formula>
    </cfRule>
  </conditionalFormatting>
  <conditionalFormatting sqref="D130:AG133">
    <cfRule type="expression" dxfId="3" priority="10">
      <formula>D$123="None"</formula>
    </cfRule>
  </conditionalFormatting>
  <conditionalFormatting sqref="D134:AG135">
    <cfRule type="expression" dxfId="2" priority="6">
      <formula>D$123="None"</formula>
    </cfRule>
  </conditionalFormatting>
  <conditionalFormatting sqref="D146:S147">
    <cfRule type="expression" dxfId="1" priority="3">
      <formula>D$145="None"</formula>
    </cfRule>
  </conditionalFormatting>
  <conditionalFormatting sqref="D223:D225">
    <cfRule type="expression" dxfId="0" priority="1" stopIfTrue="1">
      <formula>$D$221="$"</formula>
    </cfRule>
  </conditionalFormatting>
  <dataValidations count="17">
    <dataValidation type="textLength" operator="equal" allowBlank="1" showInputMessage="1" showErrorMessage="1" sqref="D16" xr:uid="{00000000-0002-0000-0000-000000000000}">
      <formula1>6</formula1>
    </dataValidation>
    <dataValidation type="list" allowBlank="1" showInputMessage="1" showErrorMessage="1" sqref="D122:AG122" xr:uid="{00000000-0002-0000-0000-000001000000}">
      <formula1>FeedGroup</formula1>
    </dataValidation>
    <dataValidation type="list" allowBlank="1" showInputMessage="1" showErrorMessage="1" sqref="D19" xr:uid="{00000000-0002-0000-0000-000002000000}">
      <formula1>PrivacyList</formula1>
    </dataValidation>
    <dataValidation type="list" allowBlank="1" showInputMessage="1" showErrorMessage="1" sqref="D38" xr:uid="{00000000-0002-0000-0000-000003000000}">
      <formula1>TerrainList</formula1>
    </dataValidation>
    <dataValidation type="list" allowBlank="1" showInputMessage="1" showErrorMessage="1" sqref="D123:AG123" xr:uid="{00000000-0002-0000-0000-000004000000}">
      <formula1>INDIRECT(D122)</formula1>
    </dataValidation>
    <dataValidation type="list" allowBlank="1" showInputMessage="1" showErrorMessage="1" sqref="D43 D91" xr:uid="{00000000-0002-0000-0000-000005000000}">
      <formula1>MonthlyList</formula1>
    </dataValidation>
    <dataValidation type="list" allowBlank="1" showInputMessage="1" showErrorMessage="1" sqref="D92" xr:uid="{00000000-0002-0000-0000-000006000000}">
      <formula1>CompositionList</formula1>
    </dataValidation>
    <dataValidation type="list" allowBlank="1" showInputMessage="1" showErrorMessage="1" sqref="D20" xr:uid="{00000000-0002-0000-0000-000008000000}">
      <formula1>ScenarioList</formula1>
    </dataValidation>
    <dataValidation type="list" allowBlank="1" showInputMessage="1" showErrorMessage="1" sqref="D18" xr:uid="{00000000-0002-0000-0000-000009000000}">
      <formula1>YearList</formula1>
    </dataValidation>
    <dataValidation type="list" allowBlank="1" showInputMessage="1" showErrorMessage="1" sqref="H64" xr:uid="{00000000-0002-0000-0000-00000A000000}">
      <formula1>OtherLivestockList</formula1>
    </dataValidation>
    <dataValidation type="list" allowBlank="1" showInputMessage="1" showErrorMessage="1" sqref="D44" xr:uid="{00000000-0002-0000-0000-00000B000000}">
      <formula1>CalvingList</formula1>
    </dataValidation>
    <dataValidation type="list" allowBlank="1" showInputMessage="1" showErrorMessage="1" sqref="D64:G64" xr:uid="{00000000-0002-0000-0000-00000C000000}">
      <formula1>DairyHerdList</formula1>
    </dataValidation>
    <dataValidation type="list" allowBlank="1" showInputMessage="1" showErrorMessage="1" sqref="D124:AG124" xr:uid="{00000000-0002-0000-0000-00000D000000}">
      <formula1>DryMatterList</formula1>
    </dataValidation>
    <dataValidation type="list" allowBlank="1" showInputMessage="1" showErrorMessage="1" sqref="D145:S145" xr:uid="{00000000-0002-0000-0000-00000E000000}">
      <formula1>FertiliserList</formula1>
    </dataValidation>
    <dataValidation type="list" allowBlank="1" showInputMessage="1" showErrorMessage="1" sqref="D121:AG121" xr:uid="{00000000-0002-0000-0000-00000F000000}">
      <formula1>FeedSource</formula1>
    </dataValidation>
    <dataValidation type="list" operator="equal" allowBlank="1" showInputMessage="1" showErrorMessage="1" sqref="D17" xr:uid="{00000000-0002-0000-0000-000010000000}">
      <formula1>RegionList</formula1>
    </dataValidation>
    <dataValidation type="list" allowBlank="1" showInputMessage="1" showErrorMessage="1" sqref="D119" xr:uid="{00000000-0002-0000-0000-000011000000}">
      <formula1>FeedingSystem</formula1>
    </dataValidation>
  </dataValidations>
  <pageMargins left="0.7" right="0.7" top="0.75" bottom="0.75" header="0.3" footer="0.3"/>
  <pageSetup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9"/>
  <sheetViews>
    <sheetView workbookViewId="0">
      <selection sqref="A1:A1048576"/>
    </sheetView>
  </sheetViews>
  <sheetFormatPr defaultRowHeight="14.5" x14ac:dyDescent="0.35"/>
  <cols>
    <col min="1" max="1" width="3.81640625" customWidth="1"/>
  </cols>
  <sheetData>
    <row r="1" spans="1:14" ht="21" customHeight="1" x14ac:dyDescent="0.35">
      <c r="A1" s="35"/>
      <c r="B1" s="29" t="s">
        <v>132</v>
      </c>
      <c r="C1" s="19"/>
      <c r="D1" s="19"/>
      <c r="E1" s="154"/>
      <c r="F1" s="3"/>
      <c r="G1" s="3"/>
      <c r="H1" s="3"/>
      <c r="I1" s="3"/>
      <c r="J1" s="3"/>
      <c r="K1" s="3"/>
      <c r="L1" s="3"/>
      <c r="M1" s="3"/>
      <c r="N1" s="36"/>
    </row>
    <row r="2" spans="1:14" s="2" customFormat="1" ht="21" customHeight="1" x14ac:dyDescent="0.35">
      <c r="A2" s="174"/>
      <c r="B2" s="165"/>
      <c r="C2" s="155"/>
      <c r="D2" s="155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35">
      <c r="B3" s="81" t="s">
        <v>150</v>
      </c>
      <c r="C3" s="167" t="s">
        <v>292</v>
      </c>
      <c r="E3" s="9" t="s">
        <v>56</v>
      </c>
      <c r="G3" s="9" t="s">
        <v>273</v>
      </c>
      <c r="I3" s="9" t="s">
        <v>348</v>
      </c>
      <c r="K3" t="s">
        <v>64</v>
      </c>
      <c r="L3" s="1"/>
    </row>
    <row r="4" spans="1:14" x14ac:dyDescent="0.35">
      <c r="B4" s="34" t="s">
        <v>393</v>
      </c>
      <c r="C4" s="118" t="e">
        <f>(1.185+(0.00454*CowLiveweightKg)-(0.0000026*(CowLiveweightKg)^2)+((0.315*0)))^2*1.1+MethaneCowMilkProduction</f>
        <v>#REF!</v>
      </c>
      <c r="D4" s="2"/>
      <c r="E4" s="100" t="e">
        <f>(1.185+(0.00454*Rising2HeiferLiveweightKg)-(0.0000026*(Rising2HeiferLiveweightKg)^2)+((0.315*Rising2HeiferLwtGainKgPerDay)))^2*1+0</f>
        <v>#REF!</v>
      </c>
      <c r="F4" s="2"/>
      <c r="G4" s="100" t="e">
        <f>(1.185+(0.00454*Rising1HeiferLiveweightKg)-(0.0000026*(Rising1HeiferLiveweightKg)^2)+((0.315*Rising1HeiferLwtGainKgPerDay)))^2*1+0</f>
        <v>#REF!</v>
      </c>
      <c r="H4" s="2"/>
      <c r="I4" s="100" t="e">
        <f>(1.185+(0.00454*BullLiveweightKg)-(0.0000026*(BullLiveweightKg)^2)+((0.315*0)))^2*1+0</f>
        <v>#REF!</v>
      </c>
      <c r="K4" s="17" t="s">
        <v>378</v>
      </c>
      <c r="L4" s="199">
        <v>9.5751000000000003E-2</v>
      </c>
    </row>
    <row r="5" spans="1:14" x14ac:dyDescent="0.35">
      <c r="B5" s="34" t="s">
        <v>286</v>
      </c>
      <c r="C5" s="118" t="e">
        <f>(MilkLitresFarmTotalPerCow*1.03/365)*3.054/0.6/((0.00795*FeedFedFarmTotalDigestabilityPercent*100)-0.0014)/18.4</f>
        <v>#REF!</v>
      </c>
      <c r="D5" s="2"/>
      <c r="E5" s="100">
        <v>0</v>
      </c>
      <c r="F5" s="2"/>
      <c r="G5" s="100">
        <v>0</v>
      </c>
      <c r="H5" s="2"/>
      <c r="I5" s="100">
        <v>0</v>
      </c>
      <c r="K5" s="17" t="s">
        <v>63</v>
      </c>
      <c r="L5" s="199">
        <v>0.01</v>
      </c>
    </row>
    <row r="6" spans="1:14" x14ac:dyDescent="0.35">
      <c r="B6" s="34" t="s">
        <v>92</v>
      </c>
      <c r="C6" s="145" t="e">
        <f>FeedIntakeCow*20.7/1000</f>
        <v>#REF!</v>
      </c>
      <c r="D6" s="2"/>
      <c r="E6" s="128" t="e">
        <f>FeedIntakeRising2*20.7/1000</f>
        <v>#REF!</v>
      </c>
      <c r="F6" s="2"/>
      <c r="G6" s="128" t="e">
        <f>FeedIntakeRising1*20.7/1000</f>
        <v>#REF!</v>
      </c>
      <c r="H6" s="2"/>
      <c r="I6" s="161" t="e">
        <f>FeedIntakeBull*20.7/1000</f>
        <v>#REF!</v>
      </c>
    </row>
    <row r="7" spans="1:14" x14ac:dyDescent="0.35">
      <c r="B7" s="53" t="s">
        <v>355</v>
      </c>
      <c r="C7" s="189" t="e">
        <f>MethaneCowDailyYield*CowMilkerNumber*365/1000000*25*1000</f>
        <v>#REF!</v>
      </c>
      <c r="D7" s="50"/>
      <c r="E7" s="99" t="e">
        <f>MethaneRising2DailyYield*Rising2HeiferNumber*365/1000000*25*1000</f>
        <v>#REF!</v>
      </c>
      <c r="F7" s="50"/>
      <c r="G7" s="99" t="e">
        <f>(MethaneRising1DailyYield*281 + 84*0.01825 )*Rising1HeiferNumber/1000000*25*1000</f>
        <v>#REF!</v>
      </c>
      <c r="H7" s="50"/>
      <c r="I7" s="99" t="e">
        <f>MethaneBullDailyYield*BullNumber*365/1000000*25*1000</f>
        <v>#REF!</v>
      </c>
    </row>
    <row r="8" spans="1:14" x14ac:dyDescent="0.35">
      <c r="B8" s="30"/>
      <c r="C8" s="147"/>
      <c r="D8" s="2"/>
      <c r="E8" s="60"/>
      <c r="F8" s="2"/>
      <c r="G8" s="60"/>
      <c r="H8" s="2"/>
      <c r="I8" s="60"/>
    </row>
    <row r="9" spans="1:14" x14ac:dyDescent="0.35">
      <c r="B9" s="66" t="s">
        <v>396</v>
      </c>
      <c r="C9" s="122"/>
      <c r="D9" s="2"/>
      <c r="E9" s="60"/>
      <c r="F9" s="2"/>
      <c r="G9" s="60"/>
      <c r="H9" s="2"/>
      <c r="I9" s="60"/>
    </row>
    <row r="10" spans="1:14" x14ac:dyDescent="0.35">
      <c r="B10" s="61" t="s">
        <v>394</v>
      </c>
      <c r="C10" s="118" t="e">
        <f>(FeedIntakeCow*(1-(FeedFedFarmTotalDigestabilityPercent))+(0.04*FeedIntakeCow))*(1-0.08)</f>
        <v>#REF!</v>
      </c>
      <c r="D10" s="2"/>
      <c r="E10" s="119" t="e">
        <f>(FeedIntakeRising2*(1-(0.75))+(0.04*FeedIntakeRising2))*(1-0.08)</f>
        <v>#REF!</v>
      </c>
      <c r="F10" s="2"/>
      <c r="G10" s="119" t="e">
        <f>(FeedIntakeRising1*(1-(0.75))+(0.04*FeedIntakeRising1))*(1-0.08)</f>
        <v>#REF!</v>
      </c>
      <c r="H10" s="2"/>
      <c r="I10" s="119" t="e">
        <f>(FeedIntakeBull*(1-(0.75))+(0.04*FeedIntakeBull))*(1-0.08)</f>
        <v>#REF!</v>
      </c>
    </row>
    <row r="11" spans="1:14" x14ac:dyDescent="0.35">
      <c r="B11" s="30" t="s">
        <v>355</v>
      </c>
      <c r="C11" s="147" t="e">
        <f>VolatileSolidsCow*0.24*0.6784*ManureMilkerIntegratedMcf*CowMilkerNumber*365*0.000001*25*1000</f>
        <v>#REF!</v>
      </c>
      <c r="D11" s="2"/>
      <c r="E11" s="60" t="e">
        <f>VolatileSolidsRising2*0.24*0.6784*ManureOtherIntegratedMcf*Rising2HeiferNumber*365*0.000001*25*1000</f>
        <v>#REF!</v>
      </c>
      <c r="F11" s="2"/>
      <c r="G11" s="60" t="e">
        <f>VolatileSolidsRising1*0.24*0.6784*ManureOtherIntegratedMcf*Rising1HeiferNumber*365*0.000001*25*1000</f>
        <v>#REF!</v>
      </c>
      <c r="H11" s="2"/>
      <c r="I11" s="60" t="e">
        <f>VolatileSolidsBull*0.24*0.6784*ManureOtherIntegratedMcf*BullNumber*365*0.000001*25*1000</f>
        <v>#REF!</v>
      </c>
    </row>
    <row r="12" spans="1:14" x14ac:dyDescent="0.35">
      <c r="B12" s="30"/>
      <c r="C12" s="209"/>
      <c r="D12" s="2"/>
      <c r="E12" s="60"/>
      <c r="F12" s="2"/>
      <c r="G12" s="2"/>
      <c r="H12" s="2"/>
      <c r="I12" s="60"/>
    </row>
    <row r="13" spans="1:14" x14ac:dyDescent="0.35">
      <c r="B13" s="66" t="s">
        <v>171</v>
      </c>
      <c r="C13" s="172"/>
      <c r="D13" s="2"/>
      <c r="E13" s="60"/>
      <c r="F13" s="2"/>
      <c r="G13" s="2"/>
      <c r="H13" s="2"/>
      <c r="I13" s="60"/>
    </row>
    <row r="14" spans="1:14" ht="15.5" x14ac:dyDescent="0.35">
      <c r="B14" s="61" t="s">
        <v>337</v>
      </c>
      <c r="C14" s="188" t="e">
        <f>FeedIntakeCow*FeedFedFarmTotalProteinPercent</f>
        <v>#REF!</v>
      </c>
      <c r="D14" s="2"/>
      <c r="E14" s="103" t="e">
        <f>FeedIntakeRising2*0.2</f>
        <v>#REF!</v>
      </c>
      <c r="F14" s="2"/>
      <c r="G14" s="103" t="e">
        <f>FeedIntakeRising1*0.2</f>
        <v>#REF!</v>
      </c>
      <c r="H14" s="2"/>
      <c r="I14" s="103" t="e">
        <f>FeedIntakeBull*0.2</f>
        <v>#REF!</v>
      </c>
    </row>
    <row r="15" spans="1:14" ht="15.5" x14ac:dyDescent="0.35">
      <c r="B15" s="61" t="s">
        <v>397</v>
      </c>
      <c r="C15" s="183" t="e">
        <f>(0.3*((NitrogenIntakeCow*(1-((FeedFedFarmTotalDigestabilityPercent*100+10)/100))))+(0.105*((0.1604*FeedFedFarmTotalDigestabilityPercent*100-1.037)*FeedIntakeCow*0.008))+(0.0152*FeedIntakeCow))/6.25</f>
        <v>#REF!</v>
      </c>
      <c r="D15" s="2"/>
      <c r="E15" s="102" t="e">
        <f>(0.3*((NitrogenIntakeRising2*(1-((0.75*100+10)/100))))+(0.105*((0.1604*0.75*100-1.037)*FeedIntakeRising2*0.008))+(0.0152*FeedIntakeRising2))/6.25</f>
        <v>#REF!</v>
      </c>
      <c r="F15" s="2"/>
      <c r="G15" s="102" t="e">
        <f>(0.3*((NitrogenIntakeRising1*(1-((0.75*100+10)/100))))+(0.105*((0.1604*0.75*100-1.037)*FeedIntakeRising1*0.008))+(0.0152*FeedIntakeRising1))/6.25</f>
        <v>#REF!</v>
      </c>
      <c r="H15" s="2"/>
      <c r="I15" s="102" t="e">
        <f>(0.3*((NitrogenIntakeBull*(1-((0.75*100+10)/100))))+(0.105*((0.1604*0.75*100-1.037)*FeedIntakeBull*0.008))+(0.0152*FeedIntakeBull))/6.25</f>
        <v>#REF!</v>
      </c>
    </row>
    <row r="16" spans="1:14" ht="15.5" x14ac:dyDescent="0.35">
      <c r="B16" s="34" t="s">
        <v>151</v>
      </c>
      <c r="C16" s="176" t="e">
        <f>365*CowMilkerNumber*0.000001*NinFaecesCow</f>
        <v>#REF!</v>
      </c>
      <c r="D16" s="2"/>
      <c r="E16" s="120" t="e">
        <f>365*Rising2HeiferNumber*0.000001*NinFaecesRising2</f>
        <v>#REF!</v>
      </c>
      <c r="F16" s="2"/>
      <c r="G16" s="120" t="e">
        <f>365*Rising1HeiferNumber*0.000001*NinFaecesRising1</f>
        <v>#REF!</v>
      </c>
      <c r="H16" s="2"/>
      <c r="I16" s="120" t="e">
        <f>365*BullNumber*0.000001*NinFaecesBull</f>
        <v>#REF!</v>
      </c>
    </row>
    <row r="17" spans="2:9" x14ac:dyDescent="0.35">
      <c r="B17" s="34" t="s">
        <v>356</v>
      </c>
      <c r="C17" s="118" t="e">
        <f>FeedIntakeCow/(1.185+(0.00454*CowLiveweightKg)-(0.0000026*(CowLiveweightKg)^2)+((0.315*0)))^2</f>
        <v>#REF!</v>
      </c>
      <c r="D17" s="2"/>
      <c r="E17" s="111" t="e">
        <f>FeedIntakeRising2/(1.185+(0.00454*Rising2HeiferLiveweightKg)-(0.0000026*(Rising2HeiferLiveweightKg)^2)+((0.315*0)))^2</f>
        <v>#REF!</v>
      </c>
      <c r="F17" s="2"/>
      <c r="G17" s="111" t="e">
        <f>FeedIntakeRising1/(1.185+(0.00454*Rising1HeiferLiveweightKg)-(0.0000026*(Rising1HeiferLiveweightKg)^2)+((0.315*0)))^2</f>
        <v>#REF!</v>
      </c>
      <c r="H17" s="2"/>
      <c r="I17" s="111" t="e">
        <f>FeedIntakeBull/(1.185+(0.00454*BullLiveweightKg)-(0.0000026*(BullLiveweightKg)^2)+((0.315*0)))^2</f>
        <v>#REF!</v>
      </c>
    </row>
    <row r="18" spans="2:9" x14ac:dyDescent="0.35">
      <c r="B18" s="61" t="s">
        <v>94</v>
      </c>
      <c r="C18" s="201" t="e">
        <f>((0.032*(MilkLitresFarmTotalPerCow*1.03/365)/6.38)+((0.212-0.008*(ManureNo2LFactorCow-2)-((0.14-0.008*(ManureNo2LFactorCow-2))/(1+EXP(-6*(CowLiveweightKg/590-0.4)))))*(0*0.92))/6.25)</f>
        <v>#REF!</v>
      </c>
      <c r="D18" s="2"/>
      <c r="E18" s="113" t="e">
        <f>((0.032*(0*1.03/365)/6.38)+((0.212-0.008*(ManureNo2LFactorRising2-2)-((0.14-0.008*(ManureNo2LFactorRising2-2))/(1+EXP(-6*(Rising2HeiferLiveweightKg/590-0.4)))))*(0*0.92))/6.25)</f>
        <v>#REF!</v>
      </c>
      <c r="F18" s="2"/>
      <c r="G18" s="113" t="e">
        <f>((0.032*(0*1.03/365)/6.38)+((0.212-0.008*(ManureNo2LFactorRising1-2)-((0.14-0.008*(ManureNo2LFactorRising1-2))/(1+EXP(-6*(Rising1HeiferLiveweightKg/590-0.4)))))*(0*0.92))/6.25)</f>
        <v>#REF!</v>
      </c>
      <c r="H18" s="2"/>
      <c r="I18" s="113" t="e">
        <f>((0.032*(0*1.03/365)/6.38)+((0.212-0.008*(ManureNo2LFactorBull-2)-((0.14-0.008*(ManureNo2LFactorBull-2))/(1+EXP(-6*(BullLiveweightKg/590-0.4)))))*(0*0.92))/6.25)</f>
        <v>#REF!</v>
      </c>
    </row>
    <row r="19" spans="2:9" x14ac:dyDescent="0.35">
      <c r="B19" s="61" t="s">
        <v>152</v>
      </c>
      <c r="C19" s="201" t="e">
        <f>(NitrogenIntakeCow/6.25)-NinBodyCow-NinFaecesCow-((1.1*10^-4*CowLiveweightKg^0.75)/6.25)</f>
        <v>#REF!</v>
      </c>
      <c r="D19" s="2"/>
      <c r="E19" s="113" t="e">
        <f>(NitrogenIntakeRising2/6.25)-NinBodyRising2-NinFaecesRising2-((1.1*10^-4*Rising2HeiferLiveweightKg^0.75)/6.25)</f>
        <v>#REF!</v>
      </c>
      <c r="F19" s="2"/>
      <c r="G19" s="113" t="e">
        <f>(NitrogenIntakeRising1/6.25)-NinBodyRising1-NinFaecesRising1-((1.1*10^-4*Rising1HeiferLiveweightKg^0.75)/6.25)</f>
        <v>#REF!</v>
      </c>
      <c r="H19" s="2"/>
      <c r="I19" s="113" t="e">
        <f>(NitrogenIntakeBull/6.25)-NinBodyBull-NinFaecesBull-((1.1*10^-4*BullLiveweightKg^0.75)/6.25)</f>
        <v>#REF!</v>
      </c>
    </row>
    <row r="20" spans="2:9" x14ac:dyDescent="0.35">
      <c r="B20" s="61" t="s">
        <v>59</v>
      </c>
      <c r="C20" s="205" t="e">
        <f>365*CowMilkerNumber*0.000001*NinUrineCow</f>
        <v>#REF!</v>
      </c>
      <c r="D20" s="2"/>
      <c r="E20" s="106" t="e">
        <f>365*Rising2HeiferNumber*0.000001*NinUrineRising2</f>
        <v>#REF!</v>
      </c>
      <c r="F20" s="2"/>
      <c r="G20" s="106" t="e">
        <f>365*Rising1HeiferNumber*0.000001*NinUrineRising1</f>
        <v>#REF!</v>
      </c>
      <c r="H20" s="2"/>
      <c r="I20" s="106" t="e">
        <f>365*BullNumber*0.000001*NinUrineBull</f>
        <v>#REF!</v>
      </c>
    </row>
    <row r="21" spans="2:9" x14ac:dyDescent="0.35">
      <c r="B21" s="61"/>
      <c r="C21" s="205"/>
      <c r="D21" s="2"/>
      <c r="E21" s="106"/>
      <c r="F21" s="2"/>
      <c r="G21" s="106"/>
      <c r="H21" s="2"/>
      <c r="I21" s="106"/>
    </row>
    <row r="22" spans="2:9" x14ac:dyDescent="0.35">
      <c r="B22" s="66" t="s">
        <v>95</v>
      </c>
      <c r="C22" s="122"/>
      <c r="D22" s="2"/>
      <c r="E22" s="2"/>
      <c r="F22" s="2"/>
      <c r="G22" s="2"/>
      <c r="H22" s="2"/>
      <c r="I22" s="2"/>
    </row>
    <row r="23" spans="2:9" x14ac:dyDescent="0.35">
      <c r="B23" s="61" t="s">
        <v>172</v>
      </c>
      <c r="C23" s="169" t="e">
        <f>ManureDisposalMilkerVoidToPasturePercent*NinFaecesCowTotal*0.004*44/28</f>
        <v>#REF!</v>
      </c>
      <c r="D23" s="2"/>
      <c r="E23" s="125" t="e">
        <f>ManureDisposalOtherVoidToPasturePercent*NinFaecesRising2Total*0.004*44/28</f>
        <v>#REF!</v>
      </c>
      <c r="F23" s="2"/>
      <c r="G23" s="125" t="e">
        <f>ManureDisposalOtherVoidToPasturePercent*NinFaecesRising1Total*0.004*44/28</f>
        <v>#REF!</v>
      </c>
      <c r="H23" s="2"/>
      <c r="I23" s="125" t="e">
        <f>ManureDisposalOtherVoidToPasturePercent*NinFaecesBullTotal*0.004*44/28</f>
        <v>#REF!</v>
      </c>
    </row>
    <row r="24" spans="2:9" x14ac:dyDescent="0.35">
      <c r="B24" s="61" t="s">
        <v>153</v>
      </c>
      <c r="C24" s="101" t="e">
        <f>ManureDisposalMilkerVoidToPasturePercent*NinUrineTotalCow*0.004*44/28</f>
        <v>#REF!</v>
      </c>
      <c r="D24" s="2"/>
      <c r="E24" s="48" t="e">
        <f>ManureDisposalOtherVoidToPasturePercent*NinUrineTotalRising2*0.004*44/28</f>
        <v>#REF!</v>
      </c>
      <c r="F24" s="2"/>
      <c r="G24" s="48" t="e">
        <f>ManureDisposalOtherVoidToPasturePercent*NinUrineTotalRising1*0.004*44/28</f>
        <v>#REF!</v>
      </c>
      <c r="H24" s="2"/>
      <c r="I24" s="48" t="e">
        <f>ManureDisposalOtherVoidToPasturePercent*NinUrineTotalBull*0.004*44/28</f>
        <v>#REF!</v>
      </c>
    </row>
    <row r="25" spans="2:9" x14ac:dyDescent="0.35">
      <c r="B25" s="53" t="s">
        <v>200</v>
      </c>
      <c r="C25" s="108" t="e">
        <f>(No2FaecesPastureCow+No2UrinePastureCow)*298*1000</f>
        <v>#REF!</v>
      </c>
      <c r="D25" s="50"/>
      <c r="E25" s="47" t="e">
        <f>(No2FaecesPastureRising2+No2UrinePastureRising2)*298*1000</f>
        <v>#REF!</v>
      </c>
      <c r="F25" s="50"/>
      <c r="G25" s="47" t="e">
        <f>(No2FaecesPastureRising1+No2UrinePastureRising1)*298*1000</f>
        <v>#REF!</v>
      </c>
      <c r="H25" s="50"/>
      <c r="I25" s="47" t="e">
        <f>(No2FaecesPastureBull+No2UrinePastureBull)*298*1000</f>
        <v>#REF!</v>
      </c>
    </row>
    <row r="26" spans="2:9" x14ac:dyDescent="0.35">
      <c r="B26" s="30"/>
      <c r="C26" s="110"/>
      <c r="D26" s="2"/>
      <c r="E26" s="64"/>
      <c r="F26" s="2"/>
      <c r="G26" s="64"/>
      <c r="H26" s="2"/>
      <c r="I26" s="64"/>
    </row>
    <row r="27" spans="2:9" x14ac:dyDescent="0.35">
      <c r="B27" s="66" t="s">
        <v>225</v>
      </c>
      <c r="C27" s="203"/>
      <c r="D27" s="2"/>
      <c r="E27" s="60"/>
      <c r="F27" s="2"/>
      <c r="G27" s="2"/>
      <c r="H27" s="2"/>
      <c r="I27" s="60"/>
    </row>
    <row r="28" spans="2:9" x14ac:dyDescent="0.35">
      <c r="B28" s="61" t="s">
        <v>32</v>
      </c>
      <c r="C28" s="145" t="e">
        <f>NinFaecesCowTotal+NinUrineTotalCow</f>
        <v>#REF!</v>
      </c>
      <c r="D28" s="2"/>
      <c r="E28" s="105" t="e">
        <f>NinFaecesRising2Total+NinUrineTotalRising2</f>
        <v>#REF!</v>
      </c>
      <c r="F28" s="2"/>
      <c r="G28" s="105" t="e">
        <f>NinFaecesRising1Total+NinUrineTotalRising1</f>
        <v>#REF!</v>
      </c>
      <c r="H28" s="2"/>
      <c r="I28" s="105" t="e">
        <f>NinFaecesBullTotal+NinUrineTotalBull</f>
        <v>#REF!</v>
      </c>
    </row>
    <row r="29" spans="2:9" x14ac:dyDescent="0.35">
      <c r="B29" s="61" t="s">
        <v>376</v>
      </c>
      <c r="C29" s="101" t="e">
        <f>ManureDisposalMilkerLagoonPercent*NwasteTotalCow*0</f>
        <v>#REF!</v>
      </c>
      <c r="D29" s="2"/>
      <c r="E29" s="48" t="e">
        <f>ManureDisposalOtherLagoonPercent*NwasteTotalRising2*0</f>
        <v>#REF!</v>
      </c>
      <c r="F29" s="2"/>
      <c r="G29" s="48" t="e">
        <f>ManureDisposalOtherLagoonPercent*NwasteTotalRising1*0</f>
        <v>#REF!</v>
      </c>
      <c r="H29" s="2"/>
      <c r="I29" s="48" t="e">
        <f>ManureDisposalOtherLagoonPercent*NwasteTotalBull*0</f>
        <v>#REF!</v>
      </c>
    </row>
    <row r="30" spans="2:9" x14ac:dyDescent="0.35">
      <c r="B30" s="61" t="s">
        <v>131</v>
      </c>
      <c r="C30" s="139" t="e">
        <f>ManureDisposalMilkerSumpDispersalPercent*NwasteTotalCow*0</f>
        <v>#REF!</v>
      </c>
      <c r="D30" s="2"/>
      <c r="E30" s="56" t="e">
        <f>ManureDisposalOtherSumpDispersalPercent*NwasteTotalRising2*0</f>
        <v>#REF!</v>
      </c>
      <c r="F30" s="2"/>
      <c r="G30" s="56" t="e">
        <f>ManureDisposalOtherSumpDispersalPercent*NwasteTotalRising1*0</f>
        <v>#REF!</v>
      </c>
      <c r="H30" s="2"/>
      <c r="I30" s="56" t="e">
        <f>ManureDisposalOtherSumpDispersalPercent*NwasteTotalBull*0</f>
        <v>#REF!</v>
      </c>
    </row>
    <row r="31" spans="2:9" x14ac:dyDescent="0.35">
      <c r="B31" s="61" t="s">
        <v>96</v>
      </c>
      <c r="C31" s="139" t="e">
        <f>ManureDisposalMilkerDrainToPaddockPercent*NwasteTotalCow*0</f>
        <v>#REF!</v>
      </c>
      <c r="D31" s="2"/>
      <c r="E31" s="56" t="e">
        <f>ManureDisposalOtherDrainToPaddockPercent*NwasteTotalRising2*0</f>
        <v>#REF!</v>
      </c>
      <c r="F31" s="2"/>
      <c r="G31" s="56" t="e">
        <f>ManureDisposalOtherDrainToPaddockPercent*NwasteTotalRising1*0</f>
        <v>#REF!</v>
      </c>
      <c r="H31" s="2"/>
      <c r="I31" s="56" t="e">
        <f>ManureDisposalOtherDrainToPaddockPercent*NwasteTotalBull*0</f>
        <v>#REF!</v>
      </c>
    </row>
    <row r="32" spans="2:9" x14ac:dyDescent="0.35">
      <c r="B32" s="61" t="s">
        <v>60</v>
      </c>
      <c r="C32" s="139" t="e">
        <f>ManureDisposalMilkerSolidStoragePercent*NwasteTotalCow*0.005</f>
        <v>#REF!</v>
      </c>
      <c r="D32" s="2"/>
      <c r="E32" s="56" t="e">
        <f>ManureDisposalOtherSolidStoragePercent*NwasteTotalRising2*0.005</f>
        <v>#REF!</v>
      </c>
      <c r="F32" s="2"/>
      <c r="G32" s="56" t="e">
        <f>ManureDisposalOtherSolidStoragePercent*NwasteTotalRising1*0.005</f>
        <v>#REF!</v>
      </c>
      <c r="H32" s="2"/>
      <c r="I32" s="56" t="e">
        <f>ManureDisposalOtherSolidStoragePercent*NwasteTotalBull*0.005</f>
        <v>#REF!</v>
      </c>
    </row>
    <row r="33" spans="2:9" x14ac:dyDescent="0.35">
      <c r="B33" s="61" t="s">
        <v>128</v>
      </c>
      <c r="C33" s="162" t="e">
        <f>ManureDisposalMilkerLagoonPercent*NwasteTotalCow*(1-0-0.35)*0.01</f>
        <v>#REF!</v>
      </c>
      <c r="D33" s="2"/>
      <c r="E33" s="48" t="e">
        <f>ManureDisposalOtherLagoonPercent*NwasteTotalRising2*(1-0-0.35)*0.01</f>
        <v>#REF!</v>
      </c>
      <c r="F33" s="2"/>
      <c r="G33" s="48" t="e">
        <f>ManureDisposalOtherLagoonPercent*NwasteTotalRising1*(1-0-0.35)*0.01</f>
        <v>#REF!</v>
      </c>
      <c r="H33" s="2"/>
      <c r="I33" s="48" t="e">
        <f>ManureDisposalOtherLagoonPercent*NwasteTotalBull*(1-0-0.35)*0.01</f>
        <v>#REF!</v>
      </c>
    </row>
    <row r="34" spans="2:9" x14ac:dyDescent="0.35">
      <c r="B34" s="61" t="s">
        <v>129</v>
      </c>
      <c r="C34" s="162" t="e">
        <f>ManureDisposalMilkerSumpDispersalPercent*NwasteTotalCow*(1-0-0.07)*0.01</f>
        <v>#REF!</v>
      </c>
      <c r="D34" s="2"/>
      <c r="E34" s="56" t="e">
        <f>ManureDisposalOtherSumpDispersalPercent*NwasteTotalRising2*(1-0-0.07)*0.01</f>
        <v>#REF!</v>
      </c>
      <c r="F34" s="2"/>
      <c r="G34" s="56" t="e">
        <f>ManureDisposalOtherSumpDispersalPercent*NwasteTotalRising1*(1-0-0.07)*0.01</f>
        <v>#REF!</v>
      </c>
      <c r="H34" s="2"/>
      <c r="I34" s="56" t="e">
        <f>ManureDisposalOtherSumpDispersalPercent*NwasteTotalBull*(1-0-0.07)*0.01</f>
        <v>#REF!</v>
      </c>
    </row>
    <row r="35" spans="2:9" x14ac:dyDescent="0.35">
      <c r="B35" s="61" t="s">
        <v>130</v>
      </c>
      <c r="C35" s="162" t="e">
        <f>ManureDisposalMilkerDrainToPaddockPercent*NwasteTotalCow*(1-0-0.2)*0.01</f>
        <v>#REF!</v>
      </c>
      <c r="D35" s="2"/>
      <c r="E35" s="56" t="e">
        <f>ManureDisposalOtherDrainToPaddockPercent*NwasteTotalRising2*(1-0-0.2)*0.01</f>
        <v>#REF!</v>
      </c>
      <c r="F35" s="2"/>
      <c r="G35" s="56" t="e">
        <f>ManureDisposalOtherDrainToPaddockPercent*NwasteTotalRising1*(1-0-0.2)*0.01</f>
        <v>#REF!</v>
      </c>
      <c r="H35" s="2"/>
      <c r="I35" s="56" t="e">
        <f>ManureDisposalOtherDrainToPaddockPercent*NwasteTotalBull*(1-0-0.2)*0.01</f>
        <v>#REF!</v>
      </c>
    </row>
    <row r="36" spans="2:9" x14ac:dyDescent="0.35">
      <c r="B36" s="61" t="s">
        <v>307</v>
      </c>
      <c r="C36" s="162" t="e">
        <f>ManureDisposalMilkerSolidStoragePercent*NwasteTotalCow*(1-0.005-0.3-0.3)*0.01</f>
        <v>#REF!</v>
      </c>
      <c r="D36" s="2"/>
      <c r="E36" s="56" t="e">
        <f>ManureDisposalOtherSolidStoragePercent*NwasteTotalRising2*(1-0.005-0.3-0.3)*0.01</f>
        <v>#REF!</v>
      </c>
      <c r="F36" s="2"/>
      <c r="G36" s="56" t="e">
        <f>ManureDisposalOtherSolidStoragePercent*NwasteTotalRising1*(1-0.005-0.3-0.3)*0.01</f>
        <v>#REF!</v>
      </c>
      <c r="H36" s="2"/>
      <c r="I36" s="56" t="e">
        <f>ManureDisposalOtherSolidStoragePercent*NwasteTotalBull*(1-0.005-0.3-0.3)*0.01</f>
        <v>#REF!</v>
      </c>
    </row>
    <row r="37" spans="2:9" x14ac:dyDescent="0.35">
      <c r="B37" s="53" t="s">
        <v>200</v>
      </c>
      <c r="C37" s="108" t="e">
        <f>SUM(C29:C36)*298*1000*44/28</f>
        <v>#REF!</v>
      </c>
      <c r="D37" s="50"/>
      <c r="E37" s="47" t="e">
        <f>SUM(E29:E36)*298*1000*44/28</f>
        <v>#REF!</v>
      </c>
      <c r="F37" s="50"/>
      <c r="G37" s="47" t="e">
        <f>SUM(G29:G36)*298*1000*44/28</f>
        <v>#REF!</v>
      </c>
      <c r="H37" s="50"/>
      <c r="I37" s="47" t="e">
        <f>SUM(I29:I36)*298*1000*44/28</f>
        <v>#REF!</v>
      </c>
    </row>
    <row r="38" spans="2:9" x14ac:dyDescent="0.35">
      <c r="B38" s="30"/>
      <c r="C38" s="110"/>
      <c r="D38" s="2"/>
      <c r="E38" s="64"/>
      <c r="F38" s="2"/>
      <c r="G38" s="64"/>
      <c r="H38" s="2"/>
      <c r="I38" s="64"/>
    </row>
    <row r="39" spans="2:9" x14ac:dyDescent="0.35">
      <c r="B39" s="66" t="s">
        <v>226</v>
      </c>
      <c r="C39" s="110"/>
      <c r="D39" s="2"/>
      <c r="E39" s="64"/>
      <c r="F39" s="2"/>
      <c r="G39" s="64"/>
      <c r="H39" s="2"/>
      <c r="I39" s="64"/>
    </row>
    <row r="40" spans="2:9" x14ac:dyDescent="0.35">
      <c r="B40" s="61" t="s">
        <v>338</v>
      </c>
      <c r="C40" s="101" t="e">
        <f>ManureDisposalMilkerLagoonPercent*NwasteTotalCow*0.35*0.004</f>
        <v>#REF!</v>
      </c>
      <c r="D40" s="2"/>
      <c r="E40" s="48" t="e">
        <f>ManureDisposalOtherLagoonPercent*NwasteTotalRising2*0.35*0.004</f>
        <v>#REF!</v>
      </c>
      <c r="F40" s="2"/>
      <c r="G40" s="48" t="e">
        <f>ManureDisposalOtherLagoonPercent*NwasteTotalRising1*0.35*0.004</f>
        <v>#REF!</v>
      </c>
      <c r="H40" s="2"/>
      <c r="I40" s="48" t="e">
        <f>ManureDisposalOtherLagoonPercent*NwasteTotalBull*0.35*0.004</f>
        <v>#REF!</v>
      </c>
    </row>
    <row r="41" spans="2:9" x14ac:dyDescent="0.35">
      <c r="B41" s="61" t="s">
        <v>278</v>
      </c>
      <c r="C41" s="139" t="e">
        <f>ManureDisposalMilkerSumpDispersalPercent*NwasteTotalCow*0.07*0.004</f>
        <v>#REF!</v>
      </c>
      <c r="D41" s="2"/>
      <c r="E41" s="56" t="e">
        <f>ManureDisposalOtherSumpDispersalPercent*NwasteTotalRising2*0.07*0.004</f>
        <v>#REF!</v>
      </c>
      <c r="F41" s="2"/>
      <c r="G41" s="56" t="e">
        <f>ManureDisposalOtherSumpDispersalPercent*NwasteTotalRising1*0.07*0.004</f>
        <v>#REF!</v>
      </c>
      <c r="H41" s="2"/>
      <c r="I41" s="56" t="e">
        <f>ManureDisposalOtherSumpDispersalPercent*NwasteTotalBull*0.07*0.004</f>
        <v>#REF!</v>
      </c>
    </row>
    <row r="42" spans="2:9" x14ac:dyDescent="0.35">
      <c r="B42" s="61" t="s">
        <v>227</v>
      </c>
      <c r="C42" s="139" t="e">
        <f>ManureDisposalMilkerDrainToPaddockPercent*NwasteTotalCow*0.2*0.004</f>
        <v>#REF!</v>
      </c>
      <c r="D42" s="2"/>
      <c r="E42" s="56" t="e">
        <f>ManureDisposalOtherDrainToPaddockPercent*NwasteTotalRising2*0.2*0.004</f>
        <v>#REF!</v>
      </c>
      <c r="F42" s="2"/>
      <c r="G42" s="56" t="e">
        <f>ManureDisposalOtherDrainToPaddockPercent*NwasteTotalRising1*0.2*0.004</f>
        <v>#REF!</v>
      </c>
      <c r="H42" s="2"/>
      <c r="I42" s="56" t="e">
        <f>ManureDisposalOtherDrainToPaddockPercent*NwasteTotalBull*0.2*0.004</f>
        <v>#REF!</v>
      </c>
    </row>
    <row r="43" spans="2:9" x14ac:dyDescent="0.35">
      <c r="B43" s="61" t="s">
        <v>201</v>
      </c>
      <c r="C43" s="139" t="e">
        <f>ManureDisposalMilkerSolidStoragePercent*NwasteTotalCow*0.3*0.004</f>
        <v>#REF!</v>
      </c>
      <c r="D43" s="2"/>
      <c r="E43" s="56" t="e">
        <f>ManureDisposalOtherSolidStoragePercent*NwasteTotalRising2*0.3*0.004</f>
        <v>#REF!</v>
      </c>
      <c r="F43" s="2"/>
      <c r="G43" s="56" t="e">
        <f>ManureDisposalOtherSolidStoragePercent*NwasteTotalRising1*0.3*0.004</f>
        <v>#REF!</v>
      </c>
      <c r="H43" s="2"/>
      <c r="I43" s="56" t="e">
        <f>ManureDisposalOtherSolidStoragePercent*NwasteTotalBull*0.3*0.004</f>
        <v>#REF!</v>
      </c>
    </row>
    <row r="44" spans="2:9" x14ac:dyDescent="0.35">
      <c r="B44" s="61" t="s">
        <v>424</v>
      </c>
      <c r="C44" s="139" t="e">
        <f>ManureDisposalMilkerSolidStoragePercent*NwasteTotalCow*1*0.3*0.0075</f>
        <v>#REF!</v>
      </c>
      <c r="D44" s="2"/>
      <c r="E44" s="56" t="e">
        <f>ManureDisposalOtherSolidStoragePercent*NwasteTotalRising2*1*0.3*0.0075</f>
        <v>#REF!</v>
      </c>
      <c r="F44" s="2"/>
      <c r="G44" s="56" t="e">
        <f>ManureDisposalOtherSolidStoragePercent*NwasteTotalRising1*1*0.3*0.0075</f>
        <v>#REF!</v>
      </c>
      <c r="H44" s="2"/>
      <c r="I44" s="56" t="e">
        <f>ManureDisposalOtherSolidStoragePercent*NwasteTotalBull*1*0.3*0.0075</f>
        <v>#REF!</v>
      </c>
    </row>
    <row r="45" spans="2:9" x14ac:dyDescent="0.35">
      <c r="B45" s="61" t="s">
        <v>61</v>
      </c>
      <c r="C45" s="139" t="e">
        <f>((MnLagoonCow+MnSumpCow+MnDrainCow+MnSolidCow)*100+NinFaecesCowTotal*ManureDisposalMilkerVoidToPasturePercent+NinUrineTotalCow*ManureDisposalMilkerVoidToPasturePercent)*0.2*0.004</f>
        <v>#REF!</v>
      </c>
      <c r="D45" s="2"/>
      <c r="E45" s="56" t="e">
        <f>((MnLagoonRising2+MnSumpRising2+MnDrainRising2+MnSolidRising2)*100+NinFaecesRising2Total*ManureDisposalOtherVoidToPasturePercent+NinUrineTotalRising2*ManureDisposalOtherVoidToPasturePercent)*0.2*0.004</f>
        <v>#REF!</v>
      </c>
      <c r="F45" s="2"/>
      <c r="G45" s="56" t="e">
        <f>((MnLagoonRising1+MnSumpRising1+MnDrainRising1+MnSolidRising1)*100+NinFaecesRising1Total*ManureDisposalOtherVoidToPasturePercent+NinUrineTotalRising1*ManureDisposalOtherVoidToPasturePercent)*0.2*0.004</f>
        <v>#REF!</v>
      </c>
      <c r="H45" s="2"/>
      <c r="I45" s="56" t="e">
        <f>((MnLagoonBull+MnSumpBull+MnDrainBull+MnSolidBull)*100+NinFaecesBullTotal*ManureDisposalOtherVoidToPasturePercent+NinUrineTotalBull*ManureDisposalOtherVoidToPasturePercent)*0.2*0.004</f>
        <v>#REF!</v>
      </c>
    </row>
    <row r="46" spans="2:9" x14ac:dyDescent="0.35">
      <c r="B46" s="61" t="s">
        <v>62</v>
      </c>
      <c r="C46" s="139" t="e">
        <f>((MnLagoonCow+MnSumpCow+MnDrainCow+MnSolidCow)*100+NinFaecesCowTotal*ManureDisposalMilkerVoidToPasturePercent+NinUrineTotalCow*ManureDisposalMilkerVoidToPasturePercent)*0.0075*0.3*1</f>
        <v>#REF!</v>
      </c>
      <c r="D46" s="2"/>
      <c r="E46" s="56" t="e">
        <f>((MnLagoonRising2+MnSumpRising2+MnDrainRising2+MnSolidRising2)*100+NinFaecesRising2Total*ManureDisposalOtherVoidToPasturePercent+NinUrineTotalRising2*ManureDisposalOtherVoidToPasturePercent)*0.0075*0.3*1</f>
        <v>#REF!</v>
      </c>
      <c r="F46" s="2"/>
      <c r="G46" s="56" t="e">
        <f>((MnLagoonRising1+MnSumpRising1+MnDrainRising1+MnSolidRising1)*100+NinFaecesRising1Total*ManureDisposalOtherVoidToPasturePercent+NinUrineTotalRising1*ManureDisposalOtherVoidToPasturePercent)*0.0075*0.3*1</f>
        <v>#REF!</v>
      </c>
      <c r="H46" s="2"/>
      <c r="I46" s="56" t="e">
        <f>((MnLagoonBull+MnSumpBull+MnDrainBull+MnSolidBull)*100+NinFaecesBullTotal*ManureDisposalOtherVoidToPasturePercent+NinUrineTotalBull*ManureDisposalOtherVoidToPasturePercent)*0.0075*0.3*1</f>
        <v>#REF!</v>
      </c>
    </row>
    <row r="47" spans="2:9" x14ac:dyDescent="0.35">
      <c r="B47" s="53" t="s">
        <v>200</v>
      </c>
      <c r="C47" s="108" t="e">
        <f>SUM(C40:C46)*298*1000*44/28</f>
        <v>#REF!</v>
      </c>
      <c r="D47" s="50"/>
      <c r="E47" s="47" t="e">
        <f>SUM(E40:E46)*298*1000*44/28</f>
        <v>#REF!</v>
      </c>
      <c r="F47" s="50"/>
      <c r="G47" s="47" t="e">
        <f>SUM(G40:G46)*298*1000*44/28</f>
        <v>#REF!</v>
      </c>
      <c r="H47" s="50"/>
      <c r="I47" s="47" t="e">
        <f>SUM(I40:I46)*298*1000*44/28</f>
        <v>#REF!</v>
      </c>
    </row>
    <row r="48" spans="2:9" x14ac:dyDescent="0.35">
      <c r="C48" s="2"/>
      <c r="D48" s="2"/>
      <c r="E48" s="122"/>
      <c r="F48" s="2"/>
      <c r="G48" s="110"/>
      <c r="H48" s="2"/>
      <c r="I48" s="64"/>
    </row>
    <row r="49" spans="2:9" x14ac:dyDescent="0.35">
      <c r="B49" s="66" t="s">
        <v>274</v>
      </c>
      <c r="C49" s="2"/>
      <c r="D49" s="2"/>
      <c r="E49" s="122"/>
      <c r="F49" s="2"/>
      <c r="G49" s="110"/>
      <c r="H49" s="2"/>
      <c r="I49" s="64"/>
    </row>
    <row r="50" spans="2:9" x14ac:dyDescent="0.35">
      <c r="B50" s="53" t="s">
        <v>377</v>
      </c>
      <c r="C50" s="47" t="e">
        <f>FertiliserNTonnes*0.004*44/28*298</f>
        <v>#REF!</v>
      </c>
      <c r="D50" s="2"/>
      <c r="E50" s="2"/>
      <c r="F50" s="2"/>
      <c r="G50" s="2"/>
      <c r="H50" s="2"/>
      <c r="I50" s="2"/>
    </row>
    <row r="51" spans="2:9" x14ac:dyDescent="0.35">
      <c r="B51" s="34" t="s">
        <v>304</v>
      </c>
      <c r="C51" s="191" t="e">
        <f>FertiliserNTonnes*0.1*0.004*44*298/28</f>
        <v>#REF!</v>
      </c>
      <c r="D51" s="2"/>
      <c r="E51" s="2"/>
      <c r="F51" s="2"/>
      <c r="G51" s="2"/>
      <c r="H51" s="2"/>
      <c r="I51" s="2"/>
    </row>
    <row r="52" spans="2:9" x14ac:dyDescent="0.35">
      <c r="B52" s="34" t="s">
        <v>247</v>
      </c>
      <c r="C52" s="191" t="e">
        <f>FertiliserNTonnes*1*0.3*0.0075*44*298/28</f>
        <v>#REF!</v>
      </c>
      <c r="D52" s="2"/>
      <c r="E52" s="2"/>
      <c r="F52" s="2"/>
      <c r="G52" s="2"/>
      <c r="H52" s="2"/>
      <c r="I52" s="2"/>
    </row>
    <row r="53" spans="2:9" x14ac:dyDescent="0.35">
      <c r="B53" s="53" t="s">
        <v>33</v>
      </c>
      <c r="C53" s="47" t="e">
        <f>C52+C51</f>
        <v>#REF!</v>
      </c>
    </row>
    <row r="55" spans="2:9" x14ac:dyDescent="0.35">
      <c r="B55" s="66" t="s">
        <v>127</v>
      </c>
    </row>
    <row r="56" spans="2:9" x14ac:dyDescent="0.35">
      <c r="B56" s="34" t="s">
        <v>305</v>
      </c>
      <c r="C56" s="18">
        <f>IF(RainfallAnnualAvgMm&lt;500,1,IF(RainfallAnnualAvgMm&lt;=700,2,3))</f>
        <v>1</v>
      </c>
    </row>
    <row r="57" spans="2:9" x14ac:dyDescent="0.35">
      <c r="B57" s="34" t="s">
        <v>196</v>
      </c>
      <c r="C57" s="112" t="e">
        <f>IF(PlantationDataMethodId="No estimate of carbon sequestration",0,IF(PlantationDataMethodId="Based on results from other sequestration calculators",PlantationCooSequestered,INDEX(#REF!,MATCH(PlantationTypeId,PlantationType,0),'Carbon Calculations'!C56)))</f>
        <v>#REF!</v>
      </c>
    </row>
    <row r="58" spans="2:9" x14ac:dyDescent="0.35">
      <c r="B58" s="53" t="s">
        <v>248</v>
      </c>
      <c r="C58" s="156" t="e">
        <f>C57*PlantationArea</f>
        <v>#REF!</v>
      </c>
    </row>
    <row r="60" spans="2:9" x14ac:dyDescent="0.35">
      <c r="B60" s="81" t="s">
        <v>336</v>
      </c>
    </row>
    <row r="61" spans="2:9" x14ac:dyDescent="0.35">
      <c r="B61" s="34" t="s">
        <v>275</v>
      </c>
      <c r="C61" s="18" t="e">
        <f>INDEX(EmissionFactors,MATCH(ElectricitySourceId,ElectricitySource,0))</f>
        <v>#REF!</v>
      </c>
    </row>
    <row r="62" spans="2:9" x14ac:dyDescent="0.35">
      <c r="B62" s="53" t="s">
        <v>248</v>
      </c>
      <c r="C62" s="156" t="e">
        <f>ElectricityEmissionFactor*ElectricityUse/1000000</f>
        <v>#REF!</v>
      </c>
    </row>
    <row r="64" spans="2:9" x14ac:dyDescent="0.35">
      <c r="B64" s="81" t="s">
        <v>374</v>
      </c>
      <c r="C64" s="180" t="e">
        <f>DieselUse*(0.611/1000+(69.9+0.01+0.002+1.36+0.541+0.189+0.116)*38.6*0.99/1000000)</f>
        <v>#REF!</v>
      </c>
    </row>
    <row r="66" spans="2:3" x14ac:dyDescent="0.35">
      <c r="B66" s="81" t="s">
        <v>29</v>
      </c>
      <c r="C66" s="18"/>
    </row>
    <row r="67" spans="2:3" x14ac:dyDescent="0.35">
      <c r="B67" s="61" t="s">
        <v>386</v>
      </c>
      <c r="C67" s="112" t="e">
        <f>FeedFedConcCo2EmissionFactor*FeedFedConcPurchasedTDM</f>
        <v>#REF!</v>
      </c>
    </row>
    <row r="68" spans="2:3" x14ac:dyDescent="0.35">
      <c r="B68" s="61" t="s">
        <v>387</v>
      </c>
      <c r="C68" s="112" t="e">
        <f>FeedFedSilageCo2EmissionFactor*FeedFedSilagePurchasedTDM</f>
        <v>#REF!</v>
      </c>
    </row>
    <row r="69" spans="2:3" x14ac:dyDescent="0.35">
      <c r="B69" s="61" t="s">
        <v>276</v>
      </c>
      <c r="C69" s="112" t="e">
        <f>FeedFedHayCo2EmissionFactor*FeedFedHayPurchasedTDM</f>
        <v>#REF!</v>
      </c>
    </row>
    <row r="70" spans="2:3" x14ac:dyDescent="0.35">
      <c r="B70" s="61" t="s">
        <v>123</v>
      </c>
      <c r="C70" s="112" t="e">
        <f>FeedFedOtherCo2EmissionFactor*FeedFedOtherPurchasedTDM</f>
        <v>#REF!</v>
      </c>
    </row>
    <row r="71" spans="2:3" x14ac:dyDescent="0.35">
      <c r="B71" s="53" t="s">
        <v>308</v>
      </c>
      <c r="C71" s="47" t="e">
        <f>C67+C70</f>
        <v>#REF!</v>
      </c>
    </row>
    <row r="72" spans="2:3" x14ac:dyDescent="0.35">
      <c r="B72" s="53" t="s">
        <v>228</v>
      </c>
      <c r="C72" s="47" t="e">
        <f>C68+C69</f>
        <v>#REF!</v>
      </c>
    </row>
    <row r="73" spans="2:3" x14ac:dyDescent="0.35">
      <c r="C73" s="18"/>
    </row>
    <row r="74" spans="2:3" x14ac:dyDescent="0.35">
      <c r="B74" s="81" t="s">
        <v>149</v>
      </c>
      <c r="C74" s="18"/>
    </row>
    <row r="75" spans="2:3" x14ac:dyDescent="0.35">
      <c r="B75" s="61" t="s">
        <v>93</v>
      </c>
      <c r="C75" s="112" t="e">
        <f>FertiliserNTonnes*0.891/0.46</f>
        <v>#REF!</v>
      </c>
    </row>
    <row r="76" spans="2:3" x14ac:dyDescent="0.35">
      <c r="B76" s="61" t="s">
        <v>306</v>
      </c>
      <c r="C76" s="112" t="e">
        <f>FertiliserPTonnes*0.834/0.18</f>
        <v>#REF!</v>
      </c>
    </row>
    <row r="77" spans="2:3" x14ac:dyDescent="0.35">
      <c r="B77" s="61" t="s">
        <v>169</v>
      </c>
      <c r="C77" s="112" t="e">
        <f>FertiliserKTonnes*0.131/0.5</f>
        <v>#REF!</v>
      </c>
    </row>
    <row r="78" spans="2:3" x14ac:dyDescent="0.35">
      <c r="B78" s="61" t="s">
        <v>197</v>
      </c>
      <c r="C78" s="112" t="e">
        <f>FertiliserSTonnes*0.834/0.18</f>
        <v>#REF!</v>
      </c>
    </row>
    <row r="79" spans="2:3" x14ac:dyDescent="0.35">
      <c r="B79" s="61" t="s">
        <v>406</v>
      </c>
      <c r="C79" s="112" t="e">
        <f>FertiliserLimeTonnes*0.019/0.46</f>
        <v>#REF!</v>
      </c>
    </row>
    <row r="80" spans="2:3" x14ac:dyDescent="0.35">
      <c r="B80" s="53" t="s">
        <v>309</v>
      </c>
      <c r="C80" s="47" t="e">
        <f>SUM(C75:C79)</f>
        <v>#REF!</v>
      </c>
    </row>
    <row r="82" spans="1:21" ht="21" customHeight="1" x14ac:dyDescent="0.35">
      <c r="A82" s="35"/>
      <c r="B82" s="29" t="s">
        <v>173</v>
      </c>
      <c r="C82" s="19"/>
      <c r="D82" s="19"/>
      <c r="E82" s="154"/>
      <c r="F82" s="3"/>
      <c r="G82" s="3"/>
      <c r="H82" s="3"/>
      <c r="I82" s="3"/>
      <c r="J82" s="3"/>
      <c r="K82" s="3"/>
      <c r="L82" s="3"/>
      <c r="M82" s="3"/>
      <c r="N82" s="36"/>
    </row>
    <row r="83" spans="1:21" s="13" customFormat="1" x14ac:dyDescent="0.35">
      <c r="A83"/>
      <c r="B83" s="2"/>
      <c r="C83" s="2"/>
      <c r="D83" s="94" t="s">
        <v>31</v>
      </c>
      <c r="E83" s="94" t="s">
        <v>249</v>
      </c>
      <c r="F83" s="94" t="s">
        <v>379</v>
      </c>
      <c r="G83" s="45"/>
      <c r="H83" s="45" t="s">
        <v>250</v>
      </c>
      <c r="I83" s="197" t="s">
        <v>199</v>
      </c>
      <c r="J83" s="94" t="s">
        <v>202</v>
      </c>
      <c r="T83" s="14"/>
      <c r="U83" s="14"/>
    </row>
    <row r="84" spans="1:21" s="13" customFormat="1" x14ac:dyDescent="0.35">
      <c r="A84"/>
      <c r="B84" s="71" t="s">
        <v>91</v>
      </c>
      <c r="C84" s="13" t="s">
        <v>292</v>
      </c>
      <c r="D84" s="44" t="e">
        <f>'Carbon Calculations'!C7</f>
        <v>#REF!</v>
      </c>
      <c r="E84" s="51" t="e">
        <f>CooCowsEntFermTonnes</f>
        <v>#REF!</v>
      </c>
      <c r="F84" s="44">
        <v>809.17338229708344</v>
      </c>
      <c r="H84" s="153" t="e">
        <f>D88/D$124</f>
        <v>#REF!</v>
      </c>
      <c r="I84" s="153" t="e">
        <f>CooTotalEntFermPercent</f>
        <v>#REF!</v>
      </c>
      <c r="J84" s="166">
        <v>0.63085010636547501</v>
      </c>
      <c r="T84" s="14"/>
      <c r="U84" s="14"/>
    </row>
    <row r="85" spans="1:21" s="13" customFormat="1" x14ac:dyDescent="0.35">
      <c r="A85"/>
      <c r="B85" s="2"/>
      <c r="C85" s="13" t="s">
        <v>395</v>
      </c>
      <c r="D85" s="44" t="e">
        <f>'Carbon Calculations'!E7</f>
        <v>#REF!</v>
      </c>
      <c r="E85" s="51" t="e">
        <f>CooR2HeifersEntFermTonnes</f>
        <v>#REF!</v>
      </c>
      <c r="F85" s="44">
        <v>105.36704842499999</v>
      </c>
      <c r="H85" s="153" t="e">
        <f>D93/D$124</f>
        <v>#REF!</v>
      </c>
      <c r="I85" s="153" t="e">
        <f>CooTotalWasteManagPercent</f>
        <v>#REF!</v>
      </c>
      <c r="J85" s="166">
        <v>3.2032659387038198E-2</v>
      </c>
      <c r="T85" s="14"/>
      <c r="U85" s="14"/>
    </row>
    <row r="86" spans="1:21" s="13" customFormat="1" x14ac:dyDescent="0.35">
      <c r="A86"/>
      <c r="B86" s="2"/>
      <c r="C86" s="13" t="s">
        <v>375</v>
      </c>
      <c r="D86" s="44" t="e">
        <f>'Carbon Calculations'!G7</f>
        <v>#REF!</v>
      </c>
      <c r="E86" s="51" t="e">
        <f>CooR1HeifersEntFermTonnes</f>
        <v>#REF!</v>
      </c>
      <c r="F86" s="44">
        <v>49.463221005000001</v>
      </c>
      <c r="H86" s="153" t="e">
        <f>D98/D$124</f>
        <v>#REF!</v>
      </c>
      <c r="I86" s="153" t="e">
        <f>CooTotalDirectPasturePercent</f>
        <v>#REF!</v>
      </c>
      <c r="J86" s="166">
        <v>4.7675664079750303E-2</v>
      </c>
      <c r="T86" s="14"/>
      <c r="U86" s="14"/>
    </row>
    <row r="87" spans="1:21" s="13" customFormat="1" x14ac:dyDescent="0.35">
      <c r="A87"/>
      <c r="B87" s="2"/>
      <c r="C87" s="13" t="s">
        <v>348</v>
      </c>
      <c r="D87" s="44" t="e">
        <f>'Carbon Calculations'!I7</f>
        <v>#REF!</v>
      </c>
      <c r="E87" s="51" t="e">
        <f>CooBullsEntFermTonnes</f>
        <v>#REF!</v>
      </c>
      <c r="F87" s="44">
        <v>8.6702407284375003</v>
      </c>
      <c r="H87" s="153" t="e">
        <f>D103/D$124</f>
        <v>#REF!</v>
      </c>
      <c r="I87" s="153" t="e">
        <f>CooTotalManureSpreadPercent</f>
        <v>#REF!</v>
      </c>
      <c r="J87" s="166">
        <v>1.14452405647307E-2</v>
      </c>
      <c r="T87" s="14"/>
      <c r="U87" s="14"/>
    </row>
    <row r="88" spans="1:21" s="13" customFormat="1" x14ac:dyDescent="0.35">
      <c r="A88"/>
      <c r="B88" s="2"/>
      <c r="C88" s="70" t="s">
        <v>30</v>
      </c>
      <c r="D88" s="46" t="e">
        <f>SUM(D84:D87)</f>
        <v>#REF!</v>
      </c>
      <c r="E88" s="54" t="e">
        <f>CooTotalEntFermTonnes</f>
        <v>#REF!</v>
      </c>
      <c r="F88" s="46">
        <v>988.93642428646797</v>
      </c>
      <c r="H88" s="153" t="e">
        <f>D108/D$124</f>
        <v>#REF!</v>
      </c>
      <c r="I88" s="153" t="e">
        <f>CooTotalDirectNFertPercent</f>
        <v>#REF!</v>
      </c>
      <c r="J88" s="166">
        <v>4.0818520706598797E-2</v>
      </c>
      <c r="T88" s="14"/>
      <c r="U88" s="14"/>
    </row>
    <row r="89" spans="1:21" s="13" customFormat="1" x14ac:dyDescent="0.35">
      <c r="A89"/>
      <c r="B89" s="2" t="s">
        <v>58</v>
      </c>
      <c r="C89" s="13" t="s">
        <v>292</v>
      </c>
      <c r="D89" s="44" t="e">
        <f>'Carbon Calculations'!C11</f>
        <v>#REF!</v>
      </c>
      <c r="E89" s="51" t="e">
        <f>CooCowsWasteManagTonnes</f>
        <v>#REF!</v>
      </c>
      <c r="F89" s="44">
        <v>46.8424394055912</v>
      </c>
      <c r="H89" s="153" t="e">
        <f t="shared" ref="H89:H96" si="0">D111/D$124</f>
        <v>#REF!</v>
      </c>
      <c r="I89" s="153" t="e">
        <f>CooTotalIndirectNWastePercent</f>
        <v>#REF!</v>
      </c>
      <c r="J89" s="166">
        <v>4.1074417671451403E-2</v>
      </c>
      <c r="T89" s="14"/>
      <c r="U89" s="14"/>
    </row>
    <row r="90" spans="1:21" s="13" customFormat="1" x14ac:dyDescent="0.35">
      <c r="A90"/>
      <c r="B90" s="2"/>
      <c r="C90" s="13" t="s">
        <v>395</v>
      </c>
      <c r="D90" s="44" t="e">
        <f>'Carbon Calculations'!E11</f>
        <v>#REF!</v>
      </c>
      <c r="E90" s="51" t="e">
        <f>CooR2HeifersWasteManagTonnes</f>
        <v>#REF!</v>
      </c>
      <c r="F90" s="44">
        <v>2.08629317153515</v>
      </c>
      <c r="H90" s="153" t="e">
        <f t="shared" si="0"/>
        <v>#REF!</v>
      </c>
      <c r="I90" s="153" t="e">
        <f>CooTotalIndirectNFertPercent</f>
        <v>#REF!</v>
      </c>
      <c r="J90" s="166">
        <v>2.72118017073366E-2</v>
      </c>
      <c r="T90" s="14"/>
      <c r="U90" s="14"/>
    </row>
    <row r="91" spans="1:21" s="7" customFormat="1" x14ac:dyDescent="0.35">
      <c r="A91"/>
      <c r="B91" s="2"/>
      <c r="C91" s="13" t="s">
        <v>375</v>
      </c>
      <c r="D91" s="44" t="e">
        <f>'Carbon Calculations'!G11</f>
        <v>#REF!</v>
      </c>
      <c r="E91" s="51" t="e">
        <f>CooR1HeifersWasteManagTonnes</f>
        <v>#REF!</v>
      </c>
      <c r="F91" s="44">
        <v>0.98994626993502599</v>
      </c>
      <c r="G91" s="13"/>
      <c r="H91" s="153" t="e">
        <f t="shared" si="0"/>
        <v>#REF!</v>
      </c>
      <c r="I91" s="153" t="e">
        <f>CooTotalElectrictyPercent</f>
        <v>#REF!</v>
      </c>
      <c r="J91" s="166">
        <v>0.111633838033231</v>
      </c>
      <c r="K91" s="13"/>
      <c r="L91" s="13"/>
      <c r="M91" s="13"/>
      <c r="N91" s="13"/>
      <c r="T91" s="28"/>
      <c r="U91" s="28"/>
    </row>
    <row r="92" spans="1:21" s="13" customFormat="1" x14ac:dyDescent="0.35">
      <c r="A92"/>
      <c r="B92" s="2"/>
      <c r="C92" s="13" t="s">
        <v>348</v>
      </c>
      <c r="D92" s="44" t="e">
        <f>'Carbon Calculations'!I11</f>
        <v>#REF!</v>
      </c>
      <c r="E92" s="51" t="e">
        <f>CooBullsWasteManagTonnes</f>
        <v>#REF!</v>
      </c>
      <c r="F92" s="44">
        <v>0.17167287399324399</v>
      </c>
      <c r="H92" s="153" t="e">
        <f t="shared" si="0"/>
        <v>#REF!</v>
      </c>
      <c r="I92" s="153" t="e">
        <f>CooTotalFuelPercent</f>
        <v>#REF!</v>
      </c>
      <c r="J92" s="166">
        <v>3.9895055445646699E-2</v>
      </c>
      <c r="T92" s="14"/>
      <c r="U92" s="14"/>
    </row>
    <row r="93" spans="1:21" s="13" customFormat="1" x14ac:dyDescent="0.35">
      <c r="A93"/>
      <c r="B93" s="2"/>
      <c r="C93" s="70" t="s">
        <v>30</v>
      </c>
      <c r="D93" s="46" t="e">
        <f>SUM(D89:D92)</f>
        <v>#REF!</v>
      </c>
      <c r="E93" s="54" t="e">
        <f>CooTotalWasteManagTonnes</f>
        <v>#REF!</v>
      </c>
      <c r="F93" s="46">
        <v>50.215199006801001</v>
      </c>
      <c r="H93" s="153" t="e">
        <f t="shared" si="0"/>
        <v>#REF!</v>
      </c>
      <c r="I93" s="153" t="e">
        <f>CooTotalPreFarmConcPercent</f>
        <v>#REF!</v>
      </c>
      <c r="J93" s="166">
        <v>3.9231320223106901E-2</v>
      </c>
      <c r="T93" s="14"/>
      <c r="U93" s="14"/>
    </row>
    <row r="94" spans="1:21" s="13" customFormat="1" x14ac:dyDescent="0.35">
      <c r="A94"/>
      <c r="B94" s="2" t="s">
        <v>198</v>
      </c>
      <c r="C94" s="13" t="s">
        <v>292</v>
      </c>
      <c r="D94" s="44" t="e">
        <f>'Carbon Calculations'!C25</f>
        <v>#REF!</v>
      </c>
      <c r="E94" s="51" t="e">
        <f>CooCowsDirectPastureTonnes</f>
        <v>#REF!</v>
      </c>
      <c r="F94" s="44">
        <v>59.160440322956298</v>
      </c>
      <c r="H94" s="153" t="e">
        <f t="shared" si="0"/>
        <v>#REF!</v>
      </c>
      <c r="I94" s="153" t="e">
        <f>CooTotalPreFarmFodderPercent</f>
        <v>#REF!</v>
      </c>
      <c r="J94" s="166">
        <v>2.55163058361671E-2</v>
      </c>
      <c r="T94" s="14"/>
      <c r="U94" s="14"/>
    </row>
    <row r="95" spans="1:21" s="13" customFormat="1" x14ac:dyDescent="0.35">
      <c r="A95"/>
      <c r="B95" s="2"/>
      <c r="C95" s="13" t="s">
        <v>395</v>
      </c>
      <c r="D95" s="44" t="e">
        <f>'Carbon Calculations'!E25</f>
        <v>#REF!</v>
      </c>
      <c r="E95" s="51" t="e">
        <f>CooR2HeifersDirectPastureTonnes</f>
        <v>#REF!</v>
      </c>
      <c r="F95" s="44">
        <v>10.0007742005815</v>
      </c>
      <c r="H95" s="153" t="e">
        <f t="shared" si="0"/>
        <v>#REF!</v>
      </c>
      <c r="I95" s="153" t="e">
        <f>CooTotalPreFarmFertPercent</f>
        <v>#REF!</v>
      </c>
      <c r="J95" s="166">
        <v>4.83012168650939E-2</v>
      </c>
      <c r="T95" s="14"/>
      <c r="U95" s="14"/>
    </row>
    <row r="96" spans="1:21" s="13" customFormat="1" x14ac:dyDescent="0.35">
      <c r="A96"/>
      <c r="B96" s="2"/>
      <c r="C96" s="13" t="s">
        <v>375</v>
      </c>
      <c r="D96" s="44" t="e">
        <f>'Carbon Calculations'!G25</f>
        <v>#REF!</v>
      </c>
      <c r="E96" s="51" t="e">
        <f>CooR1HeifersDirectPastureTonnes</f>
        <v>#REF!</v>
      </c>
      <c r="F96" s="44">
        <v>4.1827069192810598</v>
      </c>
      <c r="H96" s="153" t="e">
        <f t="shared" si="0"/>
        <v>#REF!</v>
      </c>
      <c r="I96" s="153" t="e">
        <f>CooTotalTreeSequesterPercent</f>
        <v>#REF!</v>
      </c>
      <c r="J96" s="166">
        <v>-9.5686146885626502E-2</v>
      </c>
      <c r="T96" s="14"/>
      <c r="U96" s="14"/>
    </row>
    <row r="97" spans="1:21" s="13" customFormat="1" x14ac:dyDescent="0.35">
      <c r="A97"/>
      <c r="B97" s="2"/>
      <c r="C97" s="13" t="s">
        <v>348</v>
      </c>
      <c r="D97" s="44" t="e">
        <f>'Carbon Calculations'!I25</f>
        <v>#REF!</v>
      </c>
      <c r="E97" s="51" t="e">
        <f>CooBullsDirectPastureTonnes</f>
        <v>#REF!</v>
      </c>
      <c r="F97" s="44">
        <v>0.863629470925381</v>
      </c>
      <c r="H97" s="142" t="e">
        <f t="shared" ref="H97:J97" si="1">SUM(H84:H96)</f>
        <v>#REF!</v>
      </c>
      <c r="I97" s="142" t="e">
        <f t="shared" si="1"/>
        <v>#REF!</v>
      </c>
      <c r="J97" s="170">
        <f t="shared" si="1"/>
        <v>1</v>
      </c>
      <c r="T97" s="14"/>
      <c r="U97" s="14"/>
    </row>
    <row r="98" spans="1:21" s="13" customFormat="1" x14ac:dyDescent="0.35">
      <c r="A98"/>
      <c r="B98" s="2"/>
      <c r="C98" s="70" t="s">
        <v>30</v>
      </c>
      <c r="D98" s="46" t="e">
        <f>SUM(D94:D97)</f>
        <v>#REF!</v>
      </c>
      <c r="E98" s="54" t="e">
        <f>CooTotalDirectPastureTonnes</f>
        <v>#REF!</v>
      </c>
      <c r="F98" s="46">
        <v>74.737564890250397</v>
      </c>
      <c r="T98" s="14"/>
      <c r="U98" s="14"/>
    </row>
    <row r="99" spans="1:21" s="13" customFormat="1" x14ac:dyDescent="0.35">
      <c r="A99"/>
      <c r="B99" s="2" t="s">
        <v>277</v>
      </c>
      <c r="C99" s="13" t="s">
        <v>292</v>
      </c>
      <c r="D99" s="44" t="e">
        <f>'Carbon Calculations'!C37</f>
        <v>#REF!</v>
      </c>
      <c r="E99" s="51" t="e">
        <f>CooCowsManureSpreadTonnes</f>
        <v>#REF!</v>
      </c>
      <c r="F99" s="44">
        <v>13.9951416638994</v>
      </c>
      <c r="T99" s="14"/>
      <c r="U99" s="14"/>
    </row>
    <row r="100" spans="1:21" s="13" customFormat="1" x14ac:dyDescent="0.35">
      <c r="A100"/>
      <c r="B100" s="2"/>
      <c r="C100" s="13" t="s">
        <v>395</v>
      </c>
      <c r="D100" s="44" t="e">
        <f>'Carbon Calculations'!E37</f>
        <v>#REF!</v>
      </c>
      <c r="E100" s="51" t="e">
        <f>CooR2HeifersManureSpreadTonnes</f>
        <v>#REF!</v>
      </c>
      <c r="F100" s="44">
        <v>2.56408738531576</v>
      </c>
      <c r="T100" s="14"/>
      <c r="U100" s="14"/>
    </row>
    <row r="101" spans="1:21" s="13" customFormat="1" x14ac:dyDescent="0.35">
      <c r="A101"/>
      <c r="B101" s="2"/>
      <c r="C101" s="13" t="s">
        <v>375</v>
      </c>
      <c r="D101" s="44" t="e">
        <f>'Carbon Calculations'!G37</f>
        <v>#REF!</v>
      </c>
      <c r="E101" s="51" t="e">
        <f>CooR1HeifersManureSpreadTonnes</f>
        <v>#REF!</v>
      </c>
      <c r="F101" s="44">
        <v>1.0277418121423401</v>
      </c>
      <c r="T101" s="14"/>
      <c r="U101" s="14"/>
    </row>
    <row r="102" spans="1:21" s="13" customFormat="1" x14ac:dyDescent="0.35">
      <c r="A102"/>
      <c r="B102" s="2"/>
      <c r="C102" s="13" t="s">
        <v>348</v>
      </c>
      <c r="D102" s="44" t="e">
        <f>'Carbon Calculations'!I37</f>
        <v>#REF!</v>
      </c>
      <c r="E102" s="51" t="e">
        <f>CooBullsManureSpreadTonnes</f>
        <v>#REF!</v>
      </c>
      <c r="F102" s="44">
        <v>0.22142500046225699</v>
      </c>
      <c r="T102" s="14"/>
      <c r="U102" s="14"/>
    </row>
    <row r="103" spans="1:21" s="13" customFormat="1" x14ac:dyDescent="0.35">
      <c r="A103"/>
      <c r="B103" s="2"/>
      <c r="C103" s="70" t="s">
        <v>30</v>
      </c>
      <c r="D103" s="46" t="e">
        <f>SUM(D99:D102)</f>
        <v>#REF!</v>
      </c>
      <c r="E103" s="54" t="e">
        <f>CooTotalManureSpreadTonnes</f>
        <v>#REF!</v>
      </c>
      <c r="F103" s="46">
        <v>17.941845717350098</v>
      </c>
      <c r="T103" s="14"/>
      <c r="U103" s="14"/>
    </row>
    <row r="104" spans="1:21" s="13" customFormat="1" x14ac:dyDescent="0.35">
      <c r="A104"/>
      <c r="B104" s="2" t="s">
        <v>224</v>
      </c>
      <c r="C104" s="13" t="s">
        <v>292</v>
      </c>
      <c r="D104" s="44" t="e">
        <f>'Carbon Calculations'!C47</f>
        <v>#REF!</v>
      </c>
      <c r="E104" s="51" t="e">
        <f>CooCowsIndirectNWasteTonnes</f>
        <v>#REF!</v>
      </c>
      <c r="F104" s="44">
        <v>50.786495684347202</v>
      </c>
      <c r="T104" s="14"/>
      <c r="U104" s="14"/>
    </row>
    <row r="105" spans="1:21" s="13" customFormat="1" x14ac:dyDescent="0.35">
      <c r="A105"/>
      <c r="B105" s="2"/>
      <c r="C105" s="13" t="s">
        <v>395</v>
      </c>
      <c r="D105" s="44" t="e">
        <f>'Carbon Calculations'!E47</f>
        <v>#REF!</v>
      </c>
      <c r="E105" s="51" t="e">
        <f>CooR2HeifersIndirectNWasteTonnes</f>
        <v>#REF!</v>
      </c>
      <c r="F105" s="44">
        <v>8.5768167440245495</v>
      </c>
      <c r="T105" s="14"/>
      <c r="U105" s="14"/>
    </row>
    <row r="106" spans="1:21" s="13" customFormat="1" x14ac:dyDescent="0.35">
      <c r="A106"/>
      <c r="B106" s="2"/>
      <c r="C106" s="13" t="s">
        <v>375</v>
      </c>
      <c r="D106" s="44" t="e">
        <f>'Carbon Calculations'!G47</f>
        <v>#REF!</v>
      </c>
      <c r="E106" s="51" t="e">
        <f>CooR1HeifersIndirectNWasteTonnes</f>
        <v>#REF!</v>
      </c>
      <c r="F106" s="44">
        <v>3.4377740920210602</v>
      </c>
      <c r="T106" s="14"/>
      <c r="U106" s="14"/>
    </row>
    <row r="107" spans="1:21" s="13" customFormat="1" x14ac:dyDescent="0.35">
      <c r="A107"/>
      <c r="B107" s="2"/>
      <c r="C107" s="13" t="s">
        <v>348</v>
      </c>
      <c r="D107" s="44" t="e">
        <f>'Carbon Calculations'!I47</f>
        <v>#REF!</v>
      </c>
      <c r="E107" s="51" t="e">
        <f>CooBullsIndirectNWasteTonnes</f>
        <v>#REF!</v>
      </c>
      <c r="F107" s="44">
        <v>0.74066182860474605</v>
      </c>
      <c r="T107" s="14"/>
      <c r="U107" s="14"/>
    </row>
    <row r="108" spans="1:21" s="13" customFormat="1" x14ac:dyDescent="0.35">
      <c r="A108"/>
      <c r="B108" s="2"/>
      <c r="C108" s="70" t="s">
        <v>30</v>
      </c>
      <c r="D108" s="46" t="e">
        <f>SUM(D104:D107)</f>
        <v>#REF!</v>
      </c>
      <c r="E108" s="54" t="e">
        <f>CooTotalIndirectNWasteTonnes</f>
        <v>#REF!</v>
      </c>
      <c r="F108" s="46">
        <v>63.988135224092197</v>
      </c>
      <c r="T108" s="14"/>
      <c r="U108" s="14"/>
    </row>
    <row r="109" spans="1:21" s="13" customFormat="1" x14ac:dyDescent="0.35">
      <c r="A109"/>
      <c r="B109" s="2"/>
      <c r="C109" s="71" t="s">
        <v>222</v>
      </c>
      <c r="D109" s="44" t="e">
        <f>'Carbon Calculations'!C50</f>
        <v>#REF!</v>
      </c>
      <c r="E109" s="51" t="e">
        <f>CooNitrogenDirectNFertTonnes</f>
        <v>#REF!</v>
      </c>
      <c r="F109" s="44">
        <v>64.389285714285705</v>
      </c>
      <c r="T109" s="14"/>
      <c r="U109" s="14"/>
    </row>
    <row r="110" spans="1:21" s="13" customFormat="1" x14ac:dyDescent="0.35">
      <c r="A110"/>
      <c r="B110" s="2"/>
      <c r="C110" s="71" t="s">
        <v>168</v>
      </c>
      <c r="D110" s="44" t="e">
        <f>'Carbon Calculations'!C53</f>
        <v>#REF!</v>
      </c>
      <c r="E110" s="51" t="e">
        <f>CooNitrogenIndirectNFertTonnes</f>
        <v>#REF!</v>
      </c>
      <c r="F110" s="44">
        <v>42.657901785714301</v>
      </c>
      <c r="T110" s="14"/>
      <c r="U110" s="14"/>
    </row>
    <row r="111" spans="1:21" s="13" customFormat="1" x14ac:dyDescent="0.35">
      <c r="A111"/>
      <c r="B111" s="2"/>
      <c r="C111" s="71" t="s">
        <v>222</v>
      </c>
      <c r="D111" s="44" t="e">
        <f t="shared" ref="D111:D112" si="2">D109</f>
        <v>#REF!</v>
      </c>
      <c r="E111" s="51" t="e">
        <f>CooTotalDirectNFertTonnes</f>
        <v>#REF!</v>
      </c>
      <c r="F111" s="44">
        <v>64.389285714285705</v>
      </c>
      <c r="T111" s="14"/>
      <c r="U111" s="14"/>
    </row>
    <row r="112" spans="1:21" s="13" customFormat="1" x14ac:dyDescent="0.35">
      <c r="A112"/>
      <c r="B112" s="2"/>
      <c r="C112" s="132" t="s">
        <v>168</v>
      </c>
      <c r="D112" s="46" t="e">
        <f t="shared" si="2"/>
        <v>#REF!</v>
      </c>
      <c r="E112" s="54" t="e">
        <f>CooTotalIndirectNFertTonnes</f>
        <v>#REF!</v>
      </c>
      <c r="F112" s="46">
        <v>42.657901785714301</v>
      </c>
      <c r="T112" s="14"/>
      <c r="U112" s="14"/>
    </row>
    <row r="113" spans="1:21" s="13" customFormat="1" x14ac:dyDescent="0.35">
      <c r="A113"/>
      <c r="B113" s="2"/>
      <c r="C113" s="71" t="s">
        <v>90</v>
      </c>
      <c r="D113" s="44" t="e">
        <f>'Carbon Calculations'!C62</f>
        <v>#REF!</v>
      </c>
      <c r="E113" s="51" t="e">
        <f>CooTotalElectrictyTonnes</f>
        <v>#REF!</v>
      </c>
      <c r="F113" s="44">
        <v>175</v>
      </c>
      <c r="T113" s="14"/>
      <c r="U113" s="14"/>
    </row>
    <row r="114" spans="1:21" s="13" customFormat="1" x14ac:dyDescent="0.35">
      <c r="A114"/>
      <c r="B114" s="2"/>
      <c r="C114" s="71" t="s">
        <v>57</v>
      </c>
      <c r="D114" s="44" t="e">
        <f>'Carbon Calculations'!C64</f>
        <v>#REF!</v>
      </c>
      <c r="E114" s="51" t="e">
        <f>CooTotalFuelTonnes</f>
        <v>#REF!</v>
      </c>
      <c r="F114" s="44">
        <v>62.540487955899998</v>
      </c>
      <c r="T114" s="14"/>
      <c r="U114" s="14"/>
    </row>
    <row r="115" spans="1:21" s="13" customFormat="1" x14ac:dyDescent="0.35">
      <c r="A115"/>
      <c r="B115" s="2"/>
      <c r="C115" s="71" t="s">
        <v>19</v>
      </c>
      <c r="D115" s="44" t="e">
        <f>'Carbon Calculations'!C71</f>
        <v>#REF!</v>
      </c>
      <c r="E115" s="51" t="e">
        <f>CooTotalPreFarmConcTonnes</f>
        <v>#REF!</v>
      </c>
      <c r="F115" s="44">
        <v>61.5</v>
      </c>
      <c r="O115" s="7"/>
      <c r="T115" s="14"/>
      <c r="U115" s="14"/>
    </row>
    <row r="116" spans="1:21" s="13" customFormat="1" x14ac:dyDescent="0.35">
      <c r="A116"/>
      <c r="B116" s="2"/>
      <c r="C116" s="71" t="s">
        <v>246</v>
      </c>
      <c r="D116" s="44" t="e">
        <f>'Carbon Calculations'!C72</f>
        <v>#REF!</v>
      </c>
      <c r="E116" s="51" t="e">
        <f>CooTotalPreFarmFodderTonnes</f>
        <v>#REF!</v>
      </c>
      <c r="F116" s="44">
        <v>40</v>
      </c>
      <c r="T116" s="14"/>
      <c r="U116" s="14"/>
    </row>
    <row r="117" spans="1:21" s="13" customFormat="1" x14ac:dyDescent="0.35">
      <c r="A117"/>
      <c r="B117" s="2"/>
      <c r="C117" s="71" t="s">
        <v>155</v>
      </c>
      <c r="D117" s="44" t="e">
        <f>'Carbon Calculations'!C80</f>
        <v>#REF!</v>
      </c>
      <c r="E117" s="51" t="e">
        <f>CooTotalPreFarmFertTonnes</f>
        <v>#REF!</v>
      </c>
      <c r="F117" s="44">
        <v>75.718197101449306</v>
      </c>
      <c r="T117" s="14"/>
      <c r="U117" s="14"/>
    </row>
    <row r="118" spans="1:21" s="13" customFormat="1" x14ac:dyDescent="0.35">
      <c r="A118"/>
      <c r="B118" s="2"/>
      <c r="C118" s="132" t="s">
        <v>195</v>
      </c>
      <c r="D118" s="46" t="e">
        <f>-'Carbon Calculations'!C58</f>
        <v>#REF!</v>
      </c>
      <c r="E118" s="54" t="e">
        <f>CooTotalTreeSequesterTonnes</f>
        <v>#REF!</v>
      </c>
      <c r="F118" s="46">
        <v>-150</v>
      </c>
      <c r="T118" s="14"/>
      <c r="U118" s="14"/>
    </row>
    <row r="119" spans="1:21" s="45" customFormat="1" x14ac:dyDescent="0.35">
      <c r="A119"/>
      <c r="B119" s="2"/>
      <c r="C119" s="13" t="s">
        <v>398</v>
      </c>
      <c r="D119" s="171" t="e">
        <f t="shared" ref="D119:D122" si="3">D84+D89+D94+D99+D104</f>
        <v>#REF!</v>
      </c>
      <c r="E119" s="51" t="e">
        <f>CooCowsTotalTonnes</f>
        <v>#REF!</v>
      </c>
      <c r="F119" s="51">
        <f t="shared" ref="F119:F122" si="4">F84+F89+F94+F99+F104</f>
        <v>979.95789937387758</v>
      </c>
      <c r="K119" s="13"/>
      <c r="L119" s="13"/>
      <c r="M119" s="13"/>
      <c r="N119" s="13"/>
      <c r="O119" s="13"/>
      <c r="T119" s="62"/>
      <c r="U119" s="62"/>
    </row>
    <row r="120" spans="1:21" s="13" customFormat="1" x14ac:dyDescent="0.35">
      <c r="A120"/>
      <c r="B120" s="2"/>
      <c r="C120" s="13" t="s">
        <v>425</v>
      </c>
      <c r="D120" s="171" t="e">
        <f t="shared" si="3"/>
        <v>#REF!</v>
      </c>
      <c r="E120" s="51" t="e">
        <f>CooR2HeifersTotalTonnes</f>
        <v>#REF!</v>
      </c>
      <c r="F120" s="51">
        <f t="shared" si="4"/>
        <v>128.59501992645696</v>
      </c>
      <c r="O120" s="7"/>
      <c r="T120" s="14"/>
      <c r="U120" s="14"/>
    </row>
    <row r="121" spans="1:21" s="13" customFormat="1" x14ac:dyDescent="0.35">
      <c r="A121"/>
      <c r="B121" s="2"/>
      <c r="C121" s="13" t="s">
        <v>399</v>
      </c>
      <c r="D121" s="171" t="e">
        <f t="shared" si="3"/>
        <v>#REF!</v>
      </c>
      <c r="E121" s="51" t="e">
        <f>CooR1HeifersTotalTonnes</f>
        <v>#REF!</v>
      </c>
      <c r="F121" s="51">
        <f t="shared" si="4"/>
        <v>59.101390098379483</v>
      </c>
      <c r="T121" s="14"/>
      <c r="U121" s="14"/>
    </row>
    <row r="122" spans="1:21" s="13" customFormat="1" x14ac:dyDescent="0.35">
      <c r="A122"/>
      <c r="B122" s="2"/>
      <c r="C122" s="13" t="s">
        <v>97</v>
      </c>
      <c r="D122" s="171" t="e">
        <f t="shared" si="3"/>
        <v>#REF!</v>
      </c>
      <c r="E122" s="51" t="e">
        <f>CooBullsTotalTonnes</f>
        <v>#REF!</v>
      </c>
      <c r="F122" s="51">
        <f t="shared" si="4"/>
        <v>10.66762990242313</v>
      </c>
      <c r="T122" s="14"/>
      <c r="U122" s="14"/>
    </row>
    <row r="123" spans="1:21" s="13" customFormat="1" x14ac:dyDescent="0.35">
      <c r="A123"/>
      <c r="B123" s="2"/>
      <c r="C123" s="70" t="s">
        <v>423</v>
      </c>
      <c r="D123" s="179" t="e">
        <f>D109+D110</f>
        <v>#REF!</v>
      </c>
      <c r="E123" s="54" t="e">
        <f>CooNitrogenTotalTonnes</f>
        <v>#REF!</v>
      </c>
      <c r="F123" s="54">
        <f>F109+F110</f>
        <v>107.04718750000001</v>
      </c>
      <c r="T123" s="14"/>
      <c r="U123" s="14"/>
    </row>
    <row r="124" spans="1:21" s="13" customFormat="1" x14ac:dyDescent="0.35">
      <c r="A124"/>
      <c r="B124" s="2"/>
      <c r="C124" s="13" t="s">
        <v>170</v>
      </c>
      <c r="D124" s="212" t="e">
        <f>SUM(D88,D93,D98,D103,D108,D111:D118)</f>
        <v>#REF!</v>
      </c>
      <c r="E124" s="151" t="e">
        <f>CooFarmTotalTonnes</f>
        <v>#REF!</v>
      </c>
      <c r="F124" s="151">
        <f>SUM(F113:F123)</f>
        <v>1550.1278118584864</v>
      </c>
      <c r="T124" s="14"/>
      <c r="U124" s="14"/>
    </row>
    <row r="125" spans="1:21" s="13" customFormat="1" x14ac:dyDescent="0.35">
      <c r="A125"/>
      <c r="B125" s="2"/>
      <c r="C125" s="2"/>
      <c r="D125" s="2"/>
      <c r="E125" s="2"/>
      <c r="F125" s="2"/>
      <c r="G125" s="2"/>
      <c r="H125" s="2"/>
      <c r="I125" s="2"/>
      <c r="J125" s="2"/>
      <c r="T125" s="14"/>
      <c r="U125" s="14"/>
    </row>
    <row r="126" spans="1:21" s="13" customFormat="1" x14ac:dyDescent="0.35">
      <c r="A126"/>
      <c r="C126" s="2" t="s">
        <v>125</v>
      </c>
      <c r="D126" s="115" t="e">
        <f>D124*1000/MilkLitresFarmTotal</f>
        <v>#REF!</v>
      </c>
      <c r="E126" s="115" t="e">
        <f>CooFarmTotalKgPerStdKgFcpm</f>
        <v>#REF!</v>
      </c>
      <c r="F126" s="115">
        <v>1</v>
      </c>
      <c r="G126" s="2"/>
      <c r="H126" s="2"/>
      <c r="I126" s="2"/>
      <c r="J126" s="2"/>
      <c r="T126" s="14"/>
      <c r="U126" s="14"/>
    </row>
    <row r="127" spans="1:21" s="13" customFormat="1" x14ac:dyDescent="0.35">
      <c r="A127"/>
      <c r="C127" s="2" t="s">
        <v>223</v>
      </c>
      <c r="D127" s="124" t="e">
        <f>D124*1000/MilkSolidsKgFarmTotal</f>
        <v>#REF!</v>
      </c>
      <c r="E127" s="124" t="e">
        <f>CooFarmTotalKgPerKgMilksolids</f>
        <v>#REF!</v>
      </c>
      <c r="F127" s="124">
        <v>14</v>
      </c>
      <c r="G127" s="2"/>
      <c r="H127" s="2"/>
      <c r="I127" s="2"/>
      <c r="J127" s="2"/>
      <c r="T127" s="14"/>
      <c r="U127" s="14"/>
    </row>
    <row r="128" spans="1:21" s="13" customFormat="1" x14ac:dyDescent="0.35">
      <c r="A128"/>
      <c r="C128"/>
      <c r="D128"/>
      <c r="E128"/>
      <c r="F128"/>
      <c r="G128"/>
      <c r="H128"/>
      <c r="I128"/>
      <c r="J128"/>
      <c r="T128" s="14"/>
      <c r="U128" s="14"/>
    </row>
    <row r="129" spans="1:21" s="13" customFormat="1" x14ac:dyDescent="0.35">
      <c r="A129"/>
      <c r="B129" s="2"/>
      <c r="C129"/>
      <c r="D129"/>
      <c r="E129"/>
      <c r="F129"/>
      <c r="G129"/>
      <c r="H129"/>
      <c r="I129"/>
      <c r="J129"/>
      <c r="T129" s="14"/>
      <c r="U12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270</vt:i4>
      </vt:variant>
    </vt:vector>
  </HeadingPairs>
  <TitlesOfParts>
    <vt:vector size="272" baseType="lpstr">
      <vt:lpstr>Input Data</vt:lpstr>
      <vt:lpstr>Carbon Calculations</vt:lpstr>
      <vt:lpstr>AnimalWasteAtmosBull</vt:lpstr>
      <vt:lpstr>AnimalWasteAtmosCow</vt:lpstr>
      <vt:lpstr>AnimalWasteAtmosRising1</vt:lpstr>
      <vt:lpstr>AnimalWasteAtmosRising2</vt:lpstr>
      <vt:lpstr>AnimalWasteLeachBull</vt:lpstr>
      <vt:lpstr>AnimalWasteLeachCow</vt:lpstr>
      <vt:lpstr>AnimalWasteLeachRising1</vt:lpstr>
      <vt:lpstr>AnimalWasteLeachRising2</vt:lpstr>
      <vt:lpstr>AreaAvailable</vt:lpstr>
      <vt:lpstr>AreaDryLand</vt:lpstr>
      <vt:lpstr>AreaIrrigated</vt:lpstr>
      <vt:lpstr>AreaIrrigatedMilking</vt:lpstr>
      <vt:lpstr>AreaIrrigatedSupport</vt:lpstr>
      <vt:lpstr>AreaLeasedNet</vt:lpstr>
      <vt:lpstr>AreaMilking</vt:lpstr>
      <vt:lpstr>AreaOwnedWtdAvg</vt:lpstr>
      <vt:lpstr>AreaSupport</vt:lpstr>
      <vt:lpstr>AreaUnusable</vt:lpstr>
      <vt:lpstr>AreaUsable</vt:lpstr>
      <vt:lpstr>AssetsCarryoverWaterAvg</vt:lpstr>
      <vt:lpstr>AssetsCarryoverWaterClosing</vt:lpstr>
      <vt:lpstr>AssetsCarryoverWaterOpening</vt:lpstr>
      <vt:lpstr>AssetsCurrentOtherAvg</vt:lpstr>
      <vt:lpstr>AssetsCurrentOtherClosing</vt:lpstr>
      <vt:lpstr>AssetsCurrentOtherOpening</vt:lpstr>
      <vt:lpstr>AssetsFactorySharesAvg</vt:lpstr>
      <vt:lpstr>AssetsFactorySharesClosing</vt:lpstr>
      <vt:lpstr>AssetsFactorySharesOpening</vt:lpstr>
      <vt:lpstr>AssetsFarmOtherAvg</vt:lpstr>
      <vt:lpstr>AssetsFarmOtherClosing</vt:lpstr>
      <vt:lpstr>AssetsFarmOtherOpening</vt:lpstr>
      <vt:lpstr>AssetsFmdAvg</vt:lpstr>
      <vt:lpstr>AssetsFmdClosing</vt:lpstr>
      <vt:lpstr>AssetsFmdOpening</vt:lpstr>
      <vt:lpstr>AssetsLandAndBuildingsAvg</vt:lpstr>
      <vt:lpstr>AssetsLandAndBuildingsClosing</vt:lpstr>
      <vt:lpstr>AssetsLandAndBuildingsOpening</vt:lpstr>
      <vt:lpstr>AssetsLeasedTotalAvg</vt:lpstr>
      <vt:lpstr>AssetsLeasedTotalClosing</vt:lpstr>
      <vt:lpstr>AssetsLeasedTotalOpening</vt:lpstr>
      <vt:lpstr>AssetsOwnedWaterAvg</vt:lpstr>
      <vt:lpstr>AssetsOwnedWaterClosing</vt:lpstr>
      <vt:lpstr>AssetsOwnedWaterOpening</vt:lpstr>
      <vt:lpstr>AssetsPlantEquipmentAvg</vt:lpstr>
      <vt:lpstr>AssetsPlantEquipmentClosing</vt:lpstr>
      <vt:lpstr>AssetsPlantEquipmentOpening</vt:lpstr>
      <vt:lpstr>CalfDeaths</vt:lpstr>
      <vt:lpstr>CalfPurchaseCost</vt:lpstr>
      <vt:lpstr>CalfPurchases</vt:lpstr>
      <vt:lpstr>CalfSalesNumber</vt:lpstr>
      <vt:lpstr>CalfSalesValue</vt:lpstr>
      <vt:lpstr>CalvesBornInYear</vt:lpstr>
      <vt:lpstr>CalvingPatternTypeId</vt:lpstr>
      <vt:lpstr>CashFlowCapitalPurchase</vt:lpstr>
      <vt:lpstr>CashFlowLivestockPurchase</vt:lpstr>
      <vt:lpstr>CashFlowOwnerDrawings</vt:lpstr>
      <vt:lpstr>CashFlowPrincipalRepayment</vt:lpstr>
      <vt:lpstr>CowDistanceWalked</vt:lpstr>
      <vt:lpstr>CowMilkerNumber</vt:lpstr>
      <vt:lpstr>DairyBaseId</vt:lpstr>
      <vt:lpstr>DataSetId</vt:lpstr>
      <vt:lpstr>DataSetNotes</vt:lpstr>
      <vt:lpstr>DataSetNumber</vt:lpstr>
      <vt:lpstr>DataSetSelection</vt:lpstr>
      <vt:lpstr>DataSource</vt:lpstr>
      <vt:lpstr>Description</vt:lpstr>
      <vt:lpstr>ElectricityEmissionFactor</vt:lpstr>
      <vt:lpstr>ExpenseAgistment</vt:lpstr>
      <vt:lpstr>ExpenseAIHerdTest</vt:lpstr>
      <vt:lpstr>ExpenseAnimalHealth</vt:lpstr>
      <vt:lpstr>ExpenseCalfRearing</vt:lpstr>
      <vt:lpstr>ExpenseCashFeedTotal</vt:lpstr>
      <vt:lpstr>ExpenseCashOverheadsTotal</vt:lpstr>
      <vt:lpstr>ExpenseConcentratesPurchase</vt:lpstr>
      <vt:lpstr>ExpenseDairySupplies</vt:lpstr>
      <vt:lpstr>ExpenseDepreciation</vt:lpstr>
      <vt:lpstr>ExpenseDepreciationPercent</vt:lpstr>
      <vt:lpstr>ExpenseEmployedPeople</vt:lpstr>
      <vt:lpstr>ExpenseFertiliser</vt:lpstr>
      <vt:lpstr>ExpenseFodderPurchase</vt:lpstr>
      <vt:lpstr>ExpenseFuelOil</vt:lpstr>
      <vt:lpstr>ExpenseHaySilage</vt:lpstr>
      <vt:lpstr>ExpenseHerdTotal</vt:lpstr>
      <vt:lpstr>ExpenseInterest</vt:lpstr>
      <vt:lpstr>ExpenseInterestLease</vt:lpstr>
      <vt:lpstr>ExpenseIrrigationOther</vt:lpstr>
      <vt:lpstr>ExpenseLease</vt:lpstr>
      <vt:lpstr>ExpenseMotorVehicles</vt:lpstr>
      <vt:lpstr>ExpenseOtherFeed</vt:lpstr>
      <vt:lpstr>ExpenseOtherFeedPurchase</vt:lpstr>
      <vt:lpstr>ExpenseOtherHerd</vt:lpstr>
      <vt:lpstr>ExpenseOtherOverheads</vt:lpstr>
      <vt:lpstr>ExpenseOtherShed</vt:lpstr>
      <vt:lpstr>ExpensePastureCropping</vt:lpstr>
      <vt:lpstr>ExpenseRates</vt:lpstr>
      <vt:lpstr>ExpenseRegistrationInsurance</vt:lpstr>
      <vt:lpstr>ExpenseRepairsMaintenance</vt:lpstr>
      <vt:lpstr>ExpenseShedPower</vt:lpstr>
      <vt:lpstr>ExpenseShedTotal</vt:lpstr>
      <vt:lpstr>ExpenseWaterPurchase</vt:lpstr>
      <vt:lpstr>FeedingSystemId</vt:lpstr>
      <vt:lpstr>FeedIntakeBull</vt:lpstr>
      <vt:lpstr>FeedIntakeCow</vt:lpstr>
      <vt:lpstr>FeedIntakeRising1</vt:lpstr>
      <vt:lpstr>FeedIntakeRising2</vt:lpstr>
      <vt:lpstr>FinancialYearId</vt:lpstr>
      <vt:lpstr>ImportFileType</vt:lpstr>
      <vt:lpstr>IncomeFarmOther</vt:lpstr>
      <vt:lpstr>IncomeFeedSale</vt:lpstr>
      <vt:lpstr>IncomeLivestock</vt:lpstr>
      <vt:lpstr>IncomeMilkTotal</vt:lpstr>
      <vt:lpstr>IncomeNonFarm</vt:lpstr>
      <vt:lpstr>IncomeNonFarmTotal</vt:lpstr>
      <vt:lpstr>IncomeTotalCash</vt:lpstr>
      <vt:lpstr>IncomeWaterSale</vt:lpstr>
      <vt:lpstr>IsActual</vt:lpstr>
      <vt:lpstr>IsExisting</vt:lpstr>
      <vt:lpstr>IsIncluded</vt:lpstr>
      <vt:lpstr>LabourFteEmployed</vt:lpstr>
      <vt:lpstr>LabourFteOwner</vt:lpstr>
      <vt:lpstr>LabourFteTotal</vt:lpstr>
      <vt:lpstr>LiabilitiesCurrentAvg</vt:lpstr>
      <vt:lpstr>LiabilitiesCurrentClosing</vt:lpstr>
      <vt:lpstr>LiabilitiesCurrentOpening</vt:lpstr>
      <vt:lpstr>LiabilitiesEquipmentLoansAvg</vt:lpstr>
      <vt:lpstr>LiabilitiesEquipmentLoansClosing</vt:lpstr>
      <vt:lpstr>LiabilitiesEquipmentLoansOpening</vt:lpstr>
      <vt:lpstr>LiabilitiesLongTermLoansAvg</vt:lpstr>
      <vt:lpstr>LiabilitiesLongTermLoansClosing</vt:lpstr>
      <vt:lpstr>LiabilitiesLongTermLoansOpening</vt:lpstr>
      <vt:lpstr>ManureMilkerIntegratedMcf</vt:lpstr>
      <vt:lpstr>ManureNo2LFactorBull</vt:lpstr>
      <vt:lpstr>ManureNo2LFactorCow</vt:lpstr>
      <vt:lpstr>ManureNo2LFactorRising1</vt:lpstr>
      <vt:lpstr>ManureNo2LFactorRising2</vt:lpstr>
      <vt:lpstr>ManureOtherIntegratedMcf</vt:lpstr>
      <vt:lpstr>MethaneBullDailyYield</vt:lpstr>
      <vt:lpstr>MethaneCowDailyYield</vt:lpstr>
      <vt:lpstr>MethaneCowMilkProduction</vt:lpstr>
      <vt:lpstr>MethaneRising1DailyYield</vt:lpstr>
      <vt:lpstr>MethaneRising2DailyYield</vt:lpstr>
      <vt:lpstr>MilkerLactationLength</vt:lpstr>
      <vt:lpstr>MilkFatKgTotal</vt:lpstr>
      <vt:lpstr>MilkFatPercentAnnual</vt:lpstr>
      <vt:lpstr>MilkLitresTotal</vt:lpstr>
      <vt:lpstr>MilkNonFactoryTotalLitres</vt:lpstr>
      <vt:lpstr>MilkProteinKgTotal</vt:lpstr>
      <vt:lpstr>MilkProteinPercentAnnual</vt:lpstr>
      <vt:lpstr>MmsDrainBull</vt:lpstr>
      <vt:lpstr>MmsDrainCow</vt:lpstr>
      <vt:lpstr>MmsDrainRising1</vt:lpstr>
      <vt:lpstr>MmsDrainRising2</vt:lpstr>
      <vt:lpstr>MmsLagoonBull</vt:lpstr>
      <vt:lpstr>MmsLagoonCow</vt:lpstr>
      <vt:lpstr>MmsLagoonRising1</vt:lpstr>
      <vt:lpstr>MmsLagoonRising2</vt:lpstr>
      <vt:lpstr>MmsSolidBull</vt:lpstr>
      <vt:lpstr>MmsSolidCow</vt:lpstr>
      <vt:lpstr>MmsSolidRising1</vt:lpstr>
      <vt:lpstr>MmsSolidRising2</vt:lpstr>
      <vt:lpstr>MmsSumpBull</vt:lpstr>
      <vt:lpstr>MmsSumpCow</vt:lpstr>
      <vt:lpstr>MmsSumpRising1</vt:lpstr>
      <vt:lpstr>MmsSumpRising2</vt:lpstr>
      <vt:lpstr>MnatmosDrainBull</vt:lpstr>
      <vt:lpstr>MnatmosDrainCow</vt:lpstr>
      <vt:lpstr>MnatmosDrainRising1</vt:lpstr>
      <vt:lpstr>MnatmosDrainRising2</vt:lpstr>
      <vt:lpstr>MnatmosLagoonBull</vt:lpstr>
      <vt:lpstr>MnatmosLagoonCow</vt:lpstr>
      <vt:lpstr>MnatmosLagoonRising1</vt:lpstr>
      <vt:lpstr>MnatmosLagoonRising2</vt:lpstr>
      <vt:lpstr>MnatmosSolidBull</vt:lpstr>
      <vt:lpstr>MnatmosSolidCow</vt:lpstr>
      <vt:lpstr>MnatmosSolidRising1</vt:lpstr>
      <vt:lpstr>MnatmosSolidRising2</vt:lpstr>
      <vt:lpstr>MnatmosSumpBull</vt:lpstr>
      <vt:lpstr>MnatmosSumpCow</vt:lpstr>
      <vt:lpstr>MnatmosSumpRising1</vt:lpstr>
      <vt:lpstr>MnatmosSumpRising2</vt:lpstr>
      <vt:lpstr>MnDrainBull</vt:lpstr>
      <vt:lpstr>MnDrainCow</vt:lpstr>
      <vt:lpstr>MnDrainRising1</vt:lpstr>
      <vt:lpstr>MnDrainRising2</vt:lpstr>
      <vt:lpstr>MnLagoonBull</vt:lpstr>
      <vt:lpstr>MnLagoonCow</vt:lpstr>
      <vt:lpstr>MnLagoonRising1</vt:lpstr>
      <vt:lpstr>MnLagoonRising2</vt:lpstr>
      <vt:lpstr>MnSolidBull</vt:lpstr>
      <vt:lpstr>MnSolidCow</vt:lpstr>
      <vt:lpstr>MnSolidLeachBull</vt:lpstr>
      <vt:lpstr>MnSolidLeachCow</vt:lpstr>
      <vt:lpstr>MnSolidLeachRising1</vt:lpstr>
      <vt:lpstr>MnSolidLeachRising2</vt:lpstr>
      <vt:lpstr>MnSolidRising1</vt:lpstr>
      <vt:lpstr>MnSolidRising2</vt:lpstr>
      <vt:lpstr>MnSumpBull</vt:lpstr>
      <vt:lpstr>MnSumpCow</vt:lpstr>
      <vt:lpstr>MnSumpRising1</vt:lpstr>
      <vt:lpstr>MnSumpRising2</vt:lpstr>
      <vt:lpstr>Name</vt:lpstr>
      <vt:lpstr>NinBodyBull</vt:lpstr>
      <vt:lpstr>NinBodyCow</vt:lpstr>
      <vt:lpstr>NinBodyRising1</vt:lpstr>
      <vt:lpstr>NinBodyRising2</vt:lpstr>
      <vt:lpstr>NinFaecesBull</vt:lpstr>
      <vt:lpstr>NinFaecesBullTotal</vt:lpstr>
      <vt:lpstr>NinFaecesCow</vt:lpstr>
      <vt:lpstr>NinFaecesCowTotal</vt:lpstr>
      <vt:lpstr>NinFaecesRising1</vt:lpstr>
      <vt:lpstr>NinFaecesRising1Total</vt:lpstr>
      <vt:lpstr>NinFaecesRising2</vt:lpstr>
      <vt:lpstr>NinFaecesRising2Total</vt:lpstr>
      <vt:lpstr>NinUrineBull</vt:lpstr>
      <vt:lpstr>NinUrineCow</vt:lpstr>
      <vt:lpstr>NinUrineRising1</vt:lpstr>
      <vt:lpstr>NinUrineRising2</vt:lpstr>
      <vt:lpstr>NinUrineTotalBull</vt:lpstr>
      <vt:lpstr>NinUrineTotalCow</vt:lpstr>
      <vt:lpstr>NinUrineTotalRising1</vt:lpstr>
      <vt:lpstr>NinUrineTotalRising2</vt:lpstr>
      <vt:lpstr>NitrogenIntakeBull</vt:lpstr>
      <vt:lpstr>NitrogenIntakeCow</vt:lpstr>
      <vt:lpstr>NitrogenIntakeRising1</vt:lpstr>
      <vt:lpstr>NitrogenIntakeRising2</vt:lpstr>
      <vt:lpstr>No2FaecesPastureBull</vt:lpstr>
      <vt:lpstr>No2FaecesPastureCow</vt:lpstr>
      <vt:lpstr>No2FaecesPastureRising1</vt:lpstr>
      <vt:lpstr>No2FaecesPastureRising2</vt:lpstr>
      <vt:lpstr>No2IndirectLeaching</vt:lpstr>
      <vt:lpstr>No2IndirectNh4</vt:lpstr>
      <vt:lpstr>No2UrinePastureBull</vt:lpstr>
      <vt:lpstr>No2UrinePastureCow</vt:lpstr>
      <vt:lpstr>No2UrinePastureRising1</vt:lpstr>
      <vt:lpstr>No2UrinePastureRising2</vt:lpstr>
      <vt:lpstr>NwasteTotalBull</vt:lpstr>
      <vt:lpstr>NwasteTotalCow</vt:lpstr>
      <vt:lpstr>NwasteTotalRising1</vt:lpstr>
      <vt:lpstr>NwasteTotalRising2</vt:lpstr>
      <vt:lpstr>PrivacySettingId</vt:lpstr>
      <vt:lpstr>RainfallAnnualAvgMm</vt:lpstr>
      <vt:lpstr>RainfallAnnualMm</vt:lpstr>
      <vt:lpstr>RegionId</vt:lpstr>
      <vt:lpstr>SwitchCowCalvingMonthly</vt:lpstr>
      <vt:lpstr>SwitchDepreciation</vt:lpstr>
      <vt:lpstr>SwitchMilkComposition</vt:lpstr>
      <vt:lpstr>SwitchMilkMonthlyAnnual</vt:lpstr>
      <vt:lpstr>TerrainId</vt:lpstr>
      <vt:lpstr>UserCalving</vt:lpstr>
      <vt:lpstr>UserCalvingA1</vt:lpstr>
      <vt:lpstr>UserFeed</vt:lpstr>
      <vt:lpstr>UserFeedA1</vt:lpstr>
      <vt:lpstr>UserFertiliser</vt:lpstr>
      <vt:lpstr>UserFertiliserA1</vt:lpstr>
      <vt:lpstr>UserLivestock</vt:lpstr>
      <vt:lpstr>UserLivestockA1</vt:lpstr>
      <vt:lpstr>UserLivestockA2</vt:lpstr>
      <vt:lpstr>UserLivestockA3</vt:lpstr>
      <vt:lpstr>UserLivestockA4</vt:lpstr>
      <vt:lpstr>UserMilk</vt:lpstr>
      <vt:lpstr>UserMilkA1</vt:lpstr>
      <vt:lpstr>VolatileSolidsBull</vt:lpstr>
      <vt:lpstr>VolatileSolidsCow</vt:lpstr>
      <vt:lpstr>VolatileSolidsRising1</vt:lpstr>
      <vt:lpstr>VolatileSolidsRising2</vt:lpstr>
      <vt:lpstr>WaterCarryoverClosingML</vt:lpstr>
      <vt:lpstr>WaterCarryoverClosingPricePerML</vt:lpstr>
      <vt:lpstr>WaterCarryoverOpeningML</vt:lpstr>
      <vt:lpstr>WaterCarryoverOpeningPricePerML</vt:lpstr>
      <vt:lpstr>WaterIrrigationTotalML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Smith</dc:creator>
  <cp:lastModifiedBy>Sam Agostino</cp:lastModifiedBy>
  <dcterms:created xsi:type="dcterms:W3CDTF">2021-09-07T23:49:10Z</dcterms:created>
  <dcterms:modified xsi:type="dcterms:W3CDTF">2021-09-10T03:14:03Z</dcterms:modified>
</cp:coreProperties>
</file>